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2020 год на сайты\форма 1.2\"/>
    </mc:Choice>
  </mc:AlternateContent>
  <xr:revisionPtr revIDLastSave="0" documentId="13_ncr:1_{0C374F67-33AE-41FE-ABCC-EF3D7B7677BA}" xr6:coauthVersionLast="46" xr6:coauthVersionMax="46" xr10:uidLastSave="{00000000-0000-0000-0000-000000000000}"/>
  <bookViews>
    <workbookView xWindow="-120" yWindow="-120" windowWidth="29040" windowHeight="15840" tabRatio="611" xr2:uid="{00000000-000D-0000-FFFF-FFFF00000000}"/>
  </bookViews>
  <sheets>
    <sheet name="УК 2020  (на сайты)" sheetId="4" r:id="rId1"/>
    <sheet name="УК 2020 " sheetId="3" r:id="rId2"/>
  </sheets>
  <definedNames>
    <definedName name="__xlnm._FilterDatabase" localSheetId="1">'УК 2020 '!$A$5:$CQ$142</definedName>
    <definedName name="__xlnm._FilterDatabase" localSheetId="0">'УК 2020  (на сайты)'!$A$6:$CQ$143</definedName>
    <definedName name="__xlnm._FilterDatabase_1" localSheetId="1">'УК 2020 '!$A$5:$CQ$142</definedName>
    <definedName name="__xlnm._FilterDatabase_1" localSheetId="0">'УК 2020  (на сайты)'!$A$6:$CQ$143</definedName>
    <definedName name="__xlnm._FilterDatabase_1">#REF!</definedName>
    <definedName name="__xlnm.Print_Titles" localSheetId="1">('УК 2020 '!$A:$BF,'УК 2020 '!$4:$5)</definedName>
    <definedName name="__xlnm.Print_Titles" localSheetId="0">('УК 2020  (на сайты)'!$A:$BF,'УК 2020  (на сайты)'!$5:$6)</definedName>
    <definedName name="_xlnm.Print_Titles" localSheetId="1">'УК 2020 '!$A:$BF,'УК 2020 '!$4:$5</definedName>
    <definedName name="_xlnm.Print_Titles" localSheetId="0">'УК 2020  (на сайты)'!$A:$BF,'УК 2020  (на сайты)'!$5:$6</definedName>
  </definedNames>
  <calcPr calcId="191029"/>
</workbook>
</file>

<file path=xl/calcChain.xml><?xml version="1.0" encoding="utf-8"?>
<calcChain xmlns="http://schemas.openxmlformats.org/spreadsheetml/2006/main">
  <c r="CD88" i="4" l="1"/>
  <c r="CB16" i="3"/>
  <c r="CF19" i="3"/>
  <c r="BU7" i="4"/>
  <c r="BA7" i="4"/>
  <c r="AW7" i="4"/>
  <c r="AS7" i="4"/>
  <c r="AO7" i="4"/>
  <c r="U7" i="4"/>
  <c r="M7" i="4"/>
  <c r="E7" i="4"/>
  <c r="BP92" i="4"/>
  <c r="BR92" i="4" s="1"/>
  <c r="BQ94" i="4"/>
  <c r="BP94" i="4" s="1"/>
  <c r="BR94" i="4" s="1"/>
  <c r="BQ93" i="4"/>
  <c r="BP93" i="4" s="1"/>
  <c r="BR93" i="4" s="1"/>
  <c r="BQ92" i="4"/>
  <c r="BQ91" i="4"/>
  <c r="BP91" i="4" s="1"/>
  <c r="BM94" i="4"/>
  <c r="BL94" i="4" s="1"/>
  <c r="BN94" i="4" s="1"/>
  <c r="BH94" i="4"/>
  <c r="BT94" i="4" s="1"/>
  <c r="BI94" i="4"/>
  <c r="AW94" i="4"/>
  <c r="AV94" i="4" s="1"/>
  <c r="AW91" i="4"/>
  <c r="AV91" i="4" s="1"/>
  <c r="AS94" i="4"/>
  <c r="AR94" i="4" s="1"/>
  <c r="AN93" i="4"/>
  <c r="AO94" i="4"/>
  <c r="AN94" i="4" s="1"/>
  <c r="AZ94" i="4" s="1"/>
  <c r="AO93" i="4"/>
  <c r="AO92" i="4"/>
  <c r="AN92" i="4" s="1"/>
  <c r="AO91" i="4"/>
  <c r="AN91" i="4" s="1"/>
  <c r="AC94" i="4"/>
  <c r="AB94" i="4" s="1"/>
  <c r="AC93" i="4"/>
  <c r="AB93" i="4" s="1"/>
  <c r="AC92" i="4"/>
  <c r="AB92" i="4" s="1"/>
  <c r="AC91" i="4"/>
  <c r="AB91" i="4" s="1"/>
  <c r="Y94" i="4"/>
  <c r="X94" i="4" s="1"/>
  <c r="Y93" i="4"/>
  <c r="X93" i="4" s="1"/>
  <c r="Y92" i="4"/>
  <c r="X92" i="4" s="1"/>
  <c r="Y91" i="4"/>
  <c r="X91" i="4" s="1"/>
  <c r="U94" i="4"/>
  <c r="T94" i="4" s="1"/>
  <c r="U93" i="4"/>
  <c r="T93" i="4" s="1"/>
  <c r="U92" i="4"/>
  <c r="T92" i="4" s="1"/>
  <c r="U91" i="4"/>
  <c r="T91" i="4" s="1"/>
  <c r="M94" i="4"/>
  <c r="L94" i="4" s="1"/>
  <c r="M93" i="4"/>
  <c r="L93" i="4" s="1"/>
  <c r="M92" i="4"/>
  <c r="L92" i="4" s="1"/>
  <c r="M91" i="4"/>
  <c r="L91" i="4" s="1"/>
  <c r="H93" i="4"/>
  <c r="I94" i="4"/>
  <c r="H94" i="4" s="1"/>
  <c r="I93" i="4"/>
  <c r="I92" i="4"/>
  <c r="H92" i="4" s="1"/>
  <c r="I91" i="4"/>
  <c r="H91" i="4" s="1"/>
  <c r="E94" i="4"/>
  <c r="D94" i="4" s="1"/>
  <c r="E93" i="4"/>
  <c r="D93" i="4" s="1"/>
  <c r="E92" i="4"/>
  <c r="D92" i="4" s="1"/>
  <c r="E91" i="4"/>
  <c r="D91" i="4" s="1"/>
  <c r="BP90" i="4"/>
  <c r="BQ90" i="4"/>
  <c r="BQ86" i="4"/>
  <c r="BM36" i="4"/>
  <c r="U86" i="4"/>
  <c r="BX94" i="4" l="1"/>
  <c r="BU94" i="4"/>
  <c r="BA94" i="4"/>
  <c r="BJ94" i="4"/>
  <c r="BH28" i="4"/>
  <c r="BI28" i="4"/>
  <c r="AV28" i="4"/>
  <c r="AW28" i="4"/>
  <c r="AR28" i="4"/>
  <c r="AS28" i="4"/>
  <c r="AN28" i="4"/>
  <c r="AO28" i="4"/>
  <c r="AB28" i="4"/>
  <c r="AC28" i="4"/>
  <c r="X28" i="4"/>
  <c r="Y28" i="4"/>
  <c r="D28" i="4"/>
  <c r="T28" i="4"/>
  <c r="U28" i="4"/>
  <c r="M28" i="4"/>
  <c r="E28" i="4"/>
  <c r="BU138" i="4"/>
  <c r="BY138" i="4" s="1"/>
  <c r="AK138" i="4"/>
  <c r="BU137" i="4"/>
  <c r="BY137" i="4" s="1"/>
  <c r="CC137" i="4" s="1"/>
  <c r="BU136" i="4"/>
  <c r="BA136" i="4"/>
  <c r="AK136" i="4"/>
  <c r="BU135" i="4"/>
  <c r="BY135" i="4" s="1"/>
  <c r="BA135" i="4"/>
  <c r="AG135" i="4"/>
  <c r="AK135" i="4" s="1"/>
  <c r="BE135" i="4" s="1"/>
  <c r="Q135" i="4"/>
  <c r="BA134" i="4"/>
  <c r="BE134" i="4" s="1"/>
  <c r="Y134" i="4"/>
  <c r="AC7" i="4" s="1"/>
  <c r="U134" i="4"/>
  <c r="Y7" i="4" s="1"/>
  <c r="Q134" i="4"/>
  <c r="E134" i="4"/>
  <c r="I7" i="4" s="1"/>
  <c r="BT133" i="4"/>
  <c r="BS133" i="4"/>
  <c r="BR133" i="4"/>
  <c r="BN133" i="4"/>
  <c r="BJ133" i="4"/>
  <c r="AZ133" i="4"/>
  <c r="AY133" i="4"/>
  <c r="AE133" i="4"/>
  <c r="AI133" i="4" s="1"/>
  <c r="R133" i="4"/>
  <c r="CL131" i="4"/>
  <c r="CK131" i="4"/>
  <c r="BU131" i="4"/>
  <c r="BY131" i="4" s="1"/>
  <c r="BT131" i="4"/>
  <c r="BR131" i="4"/>
  <c r="CM131" i="4" s="1"/>
  <c r="BO131" i="4"/>
  <c r="CJ131" i="4" s="1"/>
  <c r="BN131" i="4"/>
  <c r="BJ131" i="4"/>
  <c r="BB131" i="4"/>
  <c r="BA131" i="4"/>
  <c r="AZ131" i="4"/>
  <c r="AY131" i="4"/>
  <c r="AX131" i="4"/>
  <c r="AT131" i="4"/>
  <c r="AP131" i="4"/>
  <c r="AG131" i="4"/>
  <c r="AF131" i="4"/>
  <c r="AJ131" i="4" s="1"/>
  <c r="AE131" i="4"/>
  <c r="AD131" i="4"/>
  <c r="Z131" i="4"/>
  <c r="V131" i="4"/>
  <c r="Q131" i="4"/>
  <c r="P131" i="4"/>
  <c r="O131" i="4"/>
  <c r="CN131" i="4" s="1"/>
  <c r="N131" i="4"/>
  <c r="J131" i="4"/>
  <c r="F131" i="4"/>
  <c r="CL130" i="4"/>
  <c r="CK130" i="4"/>
  <c r="CJ130" i="4"/>
  <c r="BU130" i="4"/>
  <c r="BY130" i="4" s="1"/>
  <c r="BT130" i="4"/>
  <c r="BS130" i="4"/>
  <c r="BV130" i="4" s="1"/>
  <c r="BR130" i="4"/>
  <c r="BN130" i="4"/>
  <c r="BJ130" i="4"/>
  <c r="BA130" i="4"/>
  <c r="AZ130" i="4"/>
  <c r="BB130" i="4" s="1"/>
  <c r="AY130" i="4"/>
  <c r="AX130" i="4"/>
  <c r="AT130" i="4"/>
  <c r="AP130" i="4"/>
  <c r="AG130" i="4"/>
  <c r="AF130" i="4"/>
  <c r="AE130" i="4"/>
  <c r="AD130" i="4"/>
  <c r="Z130" i="4"/>
  <c r="V130" i="4"/>
  <c r="Q130" i="4"/>
  <c r="P130" i="4"/>
  <c r="O130" i="4"/>
  <c r="CN130" i="4" s="1"/>
  <c r="N130" i="4"/>
  <c r="J130" i="4"/>
  <c r="F130" i="4"/>
  <c r="CL129" i="4"/>
  <c r="CK129" i="4"/>
  <c r="CJ129" i="4"/>
  <c r="BU129" i="4"/>
  <c r="BY129" i="4" s="1"/>
  <c r="BT129" i="4"/>
  <c r="BS129" i="4"/>
  <c r="BR129" i="4"/>
  <c r="BN129" i="4"/>
  <c r="BJ129" i="4"/>
  <c r="BB129" i="4"/>
  <c r="BA129" i="4"/>
  <c r="AZ129" i="4"/>
  <c r="AY129" i="4"/>
  <c r="AX129" i="4"/>
  <c r="AT129" i="4"/>
  <c r="AP129" i="4"/>
  <c r="AG129" i="4"/>
  <c r="AF129" i="4"/>
  <c r="AE129" i="4"/>
  <c r="AD129" i="4"/>
  <c r="Z129" i="4"/>
  <c r="V129" i="4"/>
  <c r="Q129" i="4"/>
  <c r="P129" i="4"/>
  <c r="O129" i="4"/>
  <c r="N129" i="4"/>
  <c r="J129" i="4"/>
  <c r="F129" i="4"/>
  <c r="CL128" i="4"/>
  <c r="CK128" i="4"/>
  <c r="CJ128" i="4"/>
  <c r="BU128" i="4"/>
  <c r="BT128" i="4"/>
  <c r="BX128" i="4" s="1"/>
  <c r="BS128" i="4"/>
  <c r="BR128" i="4"/>
  <c r="BN128" i="4"/>
  <c r="BJ128" i="4"/>
  <c r="CM128" i="4" s="1"/>
  <c r="BA128" i="4"/>
  <c r="AZ128" i="4"/>
  <c r="BB128" i="4" s="1"/>
  <c r="AY128" i="4"/>
  <c r="AX128" i="4"/>
  <c r="AT128" i="4"/>
  <c r="AP128" i="4"/>
  <c r="AK128" i="4"/>
  <c r="BE128" i="4" s="1"/>
  <c r="AG128" i="4"/>
  <c r="AF128" i="4"/>
  <c r="AE128" i="4"/>
  <c r="AD128" i="4"/>
  <c r="Z128" i="4"/>
  <c r="V128" i="4"/>
  <c r="Q128" i="4"/>
  <c r="P128" i="4"/>
  <c r="O128" i="4"/>
  <c r="CN128" i="4" s="1"/>
  <c r="N128" i="4"/>
  <c r="J128" i="4"/>
  <c r="F128" i="4"/>
  <c r="CL127" i="4"/>
  <c r="CK127" i="4"/>
  <c r="CJ127" i="4"/>
  <c r="BU127" i="4"/>
  <c r="BY127" i="4" s="1"/>
  <c r="BT127" i="4"/>
  <c r="BS127" i="4"/>
  <c r="BV127" i="4" s="1"/>
  <c r="BR127" i="4"/>
  <c r="BN127" i="4"/>
  <c r="BJ127" i="4"/>
  <c r="BA127" i="4"/>
  <c r="AZ127" i="4"/>
  <c r="BB127" i="4" s="1"/>
  <c r="AY127" i="4"/>
  <c r="AX127" i="4"/>
  <c r="AT127" i="4"/>
  <c r="AP127" i="4"/>
  <c r="AG127" i="4"/>
  <c r="AF127" i="4"/>
  <c r="AE127" i="4"/>
  <c r="AD127" i="4"/>
  <c r="Z127" i="4"/>
  <c r="V127" i="4"/>
  <c r="P127" i="4"/>
  <c r="O127" i="4"/>
  <c r="N127" i="4"/>
  <c r="J127" i="4"/>
  <c r="F127" i="4"/>
  <c r="E127" i="4"/>
  <c r="Q127" i="4" s="1"/>
  <c r="CL126" i="4"/>
  <c r="CK126" i="4"/>
  <c r="CJ126" i="4"/>
  <c r="BU126" i="4"/>
  <c r="BY126" i="4" s="1"/>
  <c r="BT126" i="4"/>
  <c r="BS126" i="4"/>
  <c r="BR126" i="4"/>
  <c r="BN126" i="4"/>
  <c r="BJ126" i="4"/>
  <c r="BA126" i="4"/>
  <c r="AZ126" i="4"/>
  <c r="AY126" i="4"/>
  <c r="BB126" i="4" s="1"/>
  <c r="AX126" i="4"/>
  <c r="AT126" i="4"/>
  <c r="AP126" i="4"/>
  <c r="AH126" i="4"/>
  <c r="AG126" i="4"/>
  <c r="AF126" i="4"/>
  <c r="AE126" i="4"/>
  <c r="AD126" i="4"/>
  <c r="Z126" i="4"/>
  <c r="V126" i="4"/>
  <c r="Q126" i="4"/>
  <c r="P126" i="4"/>
  <c r="O126" i="4"/>
  <c r="N126" i="4"/>
  <c r="J126" i="4"/>
  <c r="F126" i="4"/>
  <c r="CL125" i="4"/>
  <c r="CK125" i="4"/>
  <c r="CJ125" i="4"/>
  <c r="BU125" i="4"/>
  <c r="BT125" i="4"/>
  <c r="BS125" i="4"/>
  <c r="BR125" i="4"/>
  <c r="BN125" i="4"/>
  <c r="BJ125" i="4"/>
  <c r="BA125" i="4"/>
  <c r="AZ125" i="4"/>
  <c r="BX125" i="4" s="1"/>
  <c r="AY125" i="4"/>
  <c r="AX125" i="4"/>
  <c r="AT125" i="4"/>
  <c r="AP125" i="4"/>
  <c r="AG125" i="4"/>
  <c r="AF125" i="4"/>
  <c r="AE125" i="4"/>
  <c r="AD125" i="4"/>
  <c r="Z125" i="4"/>
  <c r="V125" i="4"/>
  <c r="Q125" i="4"/>
  <c r="P125" i="4"/>
  <c r="O125" i="4"/>
  <c r="CN125" i="4" s="1"/>
  <c r="N125" i="4"/>
  <c r="J125" i="4"/>
  <c r="F125" i="4"/>
  <c r="CL124" i="4"/>
  <c r="CK124" i="4"/>
  <c r="CJ124" i="4"/>
  <c r="CA124" i="4"/>
  <c r="BU124" i="4"/>
  <c r="BT124" i="4"/>
  <c r="BS124" i="4"/>
  <c r="BR124" i="4"/>
  <c r="BN124" i="4"/>
  <c r="BJ124" i="4"/>
  <c r="BA124" i="4"/>
  <c r="AZ124" i="4"/>
  <c r="BB124" i="4" s="1"/>
  <c r="AY124" i="4"/>
  <c r="BW124" i="4" s="1"/>
  <c r="AX124" i="4"/>
  <c r="AT124" i="4"/>
  <c r="AP124" i="4"/>
  <c r="AG124" i="4"/>
  <c r="AF124" i="4"/>
  <c r="AH124" i="4" s="1"/>
  <c r="AE124" i="4"/>
  <c r="AI124" i="4" s="1"/>
  <c r="AD124" i="4"/>
  <c r="Z124" i="4"/>
  <c r="V124" i="4"/>
  <c r="Q124" i="4"/>
  <c r="P124" i="4"/>
  <c r="O124" i="4"/>
  <c r="N124" i="4"/>
  <c r="J124" i="4"/>
  <c r="F124" i="4"/>
  <c r="CL123" i="4"/>
  <c r="CK123" i="4"/>
  <c r="CJ123" i="4"/>
  <c r="BU123" i="4"/>
  <c r="BT123" i="4"/>
  <c r="BS123" i="4"/>
  <c r="BR123" i="4"/>
  <c r="BN123" i="4"/>
  <c r="BJ123" i="4"/>
  <c r="BA123" i="4"/>
  <c r="AZ123" i="4"/>
  <c r="AY123" i="4"/>
  <c r="AX123" i="4"/>
  <c r="AT123" i="4"/>
  <c r="AP123" i="4"/>
  <c r="AG123" i="4"/>
  <c r="AF123" i="4"/>
  <c r="AH123" i="4" s="1"/>
  <c r="AE123" i="4"/>
  <c r="AI123" i="4" s="1"/>
  <c r="AD123" i="4"/>
  <c r="Z123" i="4"/>
  <c r="V123" i="4"/>
  <c r="Q123" i="4"/>
  <c r="P123" i="4"/>
  <c r="R123" i="4" s="1"/>
  <c r="O123" i="4"/>
  <c r="N123" i="4"/>
  <c r="J123" i="4"/>
  <c r="F123" i="4"/>
  <c r="CL122" i="4"/>
  <c r="CK122" i="4"/>
  <c r="CJ122" i="4"/>
  <c r="BU122" i="4"/>
  <c r="BT122" i="4"/>
  <c r="BX122" i="4" s="1"/>
  <c r="BS122" i="4"/>
  <c r="BR122" i="4"/>
  <c r="BL122" i="4"/>
  <c r="BN122" i="4" s="1"/>
  <c r="BJ122" i="4"/>
  <c r="CM122" i="4" s="1"/>
  <c r="BA122" i="4"/>
  <c r="AZ122" i="4"/>
  <c r="AY122" i="4"/>
  <c r="AX122" i="4"/>
  <c r="AR122" i="4"/>
  <c r="AT122" i="4" s="1"/>
  <c r="AP122" i="4"/>
  <c r="AN122" i="4"/>
  <c r="AK122" i="4"/>
  <c r="BE122" i="4" s="1"/>
  <c r="AG122" i="4"/>
  <c r="AE122" i="4"/>
  <c r="AB122" i="4"/>
  <c r="AD122" i="4" s="1"/>
  <c r="X122" i="4"/>
  <c r="Z122" i="4" s="1"/>
  <c r="T122" i="4"/>
  <c r="V122" i="4" s="1"/>
  <c r="Q122" i="4"/>
  <c r="O122" i="4"/>
  <c r="CN122" i="4" s="1"/>
  <c r="N122" i="4"/>
  <c r="L122" i="4"/>
  <c r="H122" i="4"/>
  <c r="H108" i="4" s="1"/>
  <c r="D122" i="4"/>
  <c r="F122" i="4" s="1"/>
  <c r="CL121" i="4"/>
  <c r="CK121" i="4"/>
  <c r="CJ121" i="4"/>
  <c r="BU121" i="4"/>
  <c r="BT121" i="4"/>
  <c r="BS121" i="4"/>
  <c r="BR121" i="4"/>
  <c r="BN121" i="4"/>
  <c r="BJ121" i="4"/>
  <c r="CM121" i="4" s="1"/>
  <c r="BA121" i="4"/>
  <c r="BY121" i="4" s="1"/>
  <c r="AZ121" i="4"/>
  <c r="AY121" i="4"/>
  <c r="AX121" i="4"/>
  <c r="AT121" i="4"/>
  <c r="AP121" i="4"/>
  <c r="AH121" i="4"/>
  <c r="AG121" i="4"/>
  <c r="AF121" i="4"/>
  <c r="AJ121" i="4" s="1"/>
  <c r="BD121" i="4" s="1"/>
  <c r="AE121" i="4"/>
  <c r="AD121" i="4"/>
  <c r="Z121" i="4"/>
  <c r="V121" i="4"/>
  <c r="Q121" i="4"/>
  <c r="CP121" i="4" s="1"/>
  <c r="P121" i="4"/>
  <c r="R121" i="4" s="1"/>
  <c r="O121" i="4"/>
  <c r="N121" i="4"/>
  <c r="J121" i="4"/>
  <c r="F121" i="4"/>
  <c r="E121" i="4"/>
  <c r="CL120" i="4"/>
  <c r="CK120" i="4"/>
  <c r="CJ120" i="4"/>
  <c r="BU120" i="4"/>
  <c r="BT120" i="4"/>
  <c r="BV120" i="4" s="1"/>
  <c r="BS120" i="4"/>
  <c r="BR120" i="4"/>
  <c r="BN120" i="4"/>
  <c r="BJ120" i="4"/>
  <c r="AY120" i="4"/>
  <c r="AX120" i="4"/>
  <c r="AW120" i="4"/>
  <c r="AW108" i="4" s="1"/>
  <c r="AW95" i="4" s="1"/>
  <c r="AT120" i="4"/>
  <c r="AO120" i="4"/>
  <c r="AN120" i="4"/>
  <c r="AG120" i="4"/>
  <c r="AF120" i="4"/>
  <c r="AE120" i="4"/>
  <c r="AI120" i="4" s="1"/>
  <c r="BC120" i="4" s="1"/>
  <c r="AD120" i="4"/>
  <c r="Z120" i="4"/>
  <c r="V120" i="4"/>
  <c r="Q120" i="4"/>
  <c r="P120" i="4"/>
  <c r="R120" i="4" s="1"/>
  <c r="O120" i="4"/>
  <c r="N120" i="4"/>
  <c r="J120" i="4"/>
  <c r="F120" i="4"/>
  <c r="CJ119" i="4"/>
  <c r="BS119" i="4"/>
  <c r="BQ119" i="4"/>
  <c r="BU119" i="4" s="1"/>
  <c r="BP119" i="4"/>
  <c r="BR119" i="4" s="1"/>
  <c r="BM119" i="4"/>
  <c r="BL119" i="4"/>
  <c r="BJ119" i="4"/>
  <c r="AY119" i="4"/>
  <c r="AW119" i="4"/>
  <c r="AV119" i="4"/>
  <c r="AT119" i="4"/>
  <c r="AO119" i="4"/>
  <c r="BA119" i="4" s="1"/>
  <c r="AN119" i="4"/>
  <c r="AH119" i="4"/>
  <c r="AG119" i="4"/>
  <c r="AF119" i="4"/>
  <c r="AE119" i="4"/>
  <c r="AD119" i="4"/>
  <c r="Z119" i="4"/>
  <c r="V119" i="4"/>
  <c r="O119" i="4"/>
  <c r="CN119" i="4" s="1"/>
  <c r="N119" i="4"/>
  <c r="I119" i="4"/>
  <c r="Q119" i="4" s="1"/>
  <c r="H119" i="4"/>
  <c r="F119" i="4"/>
  <c r="E119" i="4"/>
  <c r="D119" i="4"/>
  <c r="CK118" i="4"/>
  <c r="CJ118" i="4"/>
  <c r="BT118" i="4"/>
  <c r="BS118" i="4"/>
  <c r="BR118" i="4"/>
  <c r="BM118" i="4"/>
  <c r="BL118" i="4"/>
  <c r="BN118" i="4" s="1"/>
  <c r="BJ118" i="4"/>
  <c r="CM118" i="4" s="1"/>
  <c r="BA118" i="4"/>
  <c r="AZ118" i="4"/>
  <c r="AY118" i="4"/>
  <c r="BB118" i="4" s="1"/>
  <c r="AX118" i="4"/>
  <c r="AT118" i="4"/>
  <c r="AP118" i="4"/>
  <c r="AH118" i="4"/>
  <c r="AG118" i="4"/>
  <c r="AF118" i="4"/>
  <c r="AE118" i="4"/>
  <c r="AD118" i="4"/>
  <c r="Z118" i="4"/>
  <c r="V118" i="4"/>
  <c r="T118" i="4"/>
  <c r="O118" i="4"/>
  <c r="M118" i="4"/>
  <c r="Q118" i="4" s="1"/>
  <c r="L118" i="4"/>
  <c r="J118" i="4"/>
  <c r="F118" i="4"/>
  <c r="CJ117" i="4"/>
  <c r="BW117" i="4"/>
  <c r="BS117" i="4"/>
  <c r="BV117" i="4" s="1"/>
  <c r="BR117" i="4"/>
  <c r="BQ117" i="4"/>
  <c r="CL117" i="4" s="1"/>
  <c r="BP117" i="4"/>
  <c r="BM117" i="4"/>
  <c r="BL117" i="4"/>
  <c r="BJ117" i="4"/>
  <c r="BA117" i="4"/>
  <c r="AZ117" i="4"/>
  <c r="AY117" i="4"/>
  <c r="AX117" i="4"/>
  <c r="AT117" i="4"/>
  <c r="AP117" i="4"/>
  <c r="AG117" i="4"/>
  <c r="AF117" i="4"/>
  <c r="AH117" i="4" s="1"/>
  <c r="AE117" i="4"/>
  <c r="AD117" i="4"/>
  <c r="Z117" i="4"/>
  <c r="V117" i="4"/>
  <c r="Q117" i="4"/>
  <c r="P117" i="4"/>
  <c r="O117" i="4"/>
  <c r="CN117" i="4" s="1"/>
  <c r="N117" i="4"/>
  <c r="J117" i="4"/>
  <c r="F117" i="4"/>
  <c r="CL116" i="4"/>
  <c r="CK116" i="4"/>
  <c r="CJ116" i="4"/>
  <c r="BU116" i="4"/>
  <c r="BY116" i="4" s="1"/>
  <c r="BT116" i="4"/>
  <c r="BS116" i="4"/>
  <c r="BR116" i="4"/>
  <c r="BN116" i="4"/>
  <c r="BJ116" i="4"/>
  <c r="BA116" i="4"/>
  <c r="AZ116" i="4"/>
  <c r="BX116" i="4" s="1"/>
  <c r="AY116" i="4"/>
  <c r="AX116" i="4"/>
  <c r="AT116" i="4"/>
  <c r="AP116" i="4"/>
  <c r="AG116" i="4"/>
  <c r="AF116" i="4"/>
  <c r="AE116" i="4"/>
  <c r="AI116" i="4" s="1"/>
  <c r="AD116" i="4"/>
  <c r="Z116" i="4"/>
  <c r="V116" i="4"/>
  <c r="Q116" i="4"/>
  <c r="P116" i="4"/>
  <c r="R116" i="4" s="1"/>
  <c r="O116" i="4"/>
  <c r="N116" i="4"/>
  <c r="J116" i="4"/>
  <c r="F116" i="4"/>
  <c r="CL115" i="4"/>
  <c r="CK115" i="4"/>
  <c r="CJ115" i="4"/>
  <c r="CJ113" i="4" s="1"/>
  <c r="BU115" i="4"/>
  <c r="BT115" i="4"/>
  <c r="BS115" i="4"/>
  <c r="BR115" i="4"/>
  <c r="BN115" i="4"/>
  <c r="BJ115" i="4"/>
  <c r="BA115" i="4"/>
  <c r="AZ115" i="4"/>
  <c r="AY115" i="4"/>
  <c r="AX115" i="4"/>
  <c r="AT115" i="4"/>
  <c r="AP115" i="4"/>
  <c r="AG115" i="4"/>
  <c r="AF115" i="4"/>
  <c r="AJ115" i="4" s="1"/>
  <c r="BD115" i="4" s="1"/>
  <c r="AE115" i="4"/>
  <c r="AD115" i="4"/>
  <c r="Z115" i="4"/>
  <c r="V115" i="4"/>
  <c r="Q115" i="4"/>
  <c r="CP115" i="4" s="1"/>
  <c r="P115" i="4"/>
  <c r="O115" i="4"/>
  <c r="AI115" i="4" s="1"/>
  <c r="BC115" i="4" s="1"/>
  <c r="N115" i="4"/>
  <c r="J115" i="4"/>
  <c r="F115" i="4"/>
  <c r="CK114" i="4"/>
  <c r="CJ114" i="4"/>
  <c r="BT114" i="4"/>
  <c r="BV114" i="4" s="1"/>
  <c r="BS114" i="4"/>
  <c r="BR114" i="4"/>
  <c r="BQ114" i="4"/>
  <c r="BQ113" i="4" s="1"/>
  <c r="BN114" i="4"/>
  <c r="BM114" i="4"/>
  <c r="BJ114" i="4"/>
  <c r="BI114" i="4"/>
  <c r="BB114" i="4"/>
  <c r="AY114" i="4"/>
  <c r="AX114" i="4"/>
  <c r="AW114" i="4"/>
  <c r="AT114" i="4"/>
  <c r="AP114" i="4"/>
  <c r="AO114" i="4"/>
  <c r="AE114" i="4"/>
  <c r="AD114" i="4"/>
  <c r="AC114" i="4"/>
  <c r="X114" i="4"/>
  <c r="V114" i="4"/>
  <c r="U114" i="4"/>
  <c r="AG114" i="4" s="1"/>
  <c r="AG113" i="4" s="1"/>
  <c r="P114" i="4"/>
  <c r="O114" i="4"/>
  <c r="CN114" i="4" s="1"/>
  <c r="N114" i="4"/>
  <c r="M114" i="4"/>
  <c r="Q114" i="4" s="1"/>
  <c r="J114" i="4"/>
  <c r="F114" i="4"/>
  <c r="BP113" i="4"/>
  <c r="BO113" i="4"/>
  <c r="BO108" i="4" s="1"/>
  <c r="BM113" i="4"/>
  <c r="BL113" i="4"/>
  <c r="BN113" i="4" s="1"/>
  <c r="BK113" i="4"/>
  <c r="BH113" i="4"/>
  <c r="BG113" i="4"/>
  <c r="AZ113" i="4"/>
  <c r="AW113" i="4"/>
  <c r="AV113" i="4"/>
  <c r="AU113" i="4"/>
  <c r="AS113" i="4"/>
  <c r="AR113" i="4"/>
  <c r="AT113" i="4" s="1"/>
  <c r="AQ113" i="4"/>
  <c r="AN113" i="4"/>
  <c r="AM113" i="4"/>
  <c r="AM108" i="4" s="1"/>
  <c r="AM95" i="4" s="1"/>
  <c r="AC113" i="4"/>
  <c r="AB113" i="4"/>
  <c r="AA113" i="4"/>
  <c r="AA108" i="4" s="1"/>
  <c r="Y113" i="4"/>
  <c r="W113" i="4"/>
  <c r="T113" i="4"/>
  <c r="S113" i="4"/>
  <c r="M113" i="4"/>
  <c r="L113" i="4"/>
  <c r="K113" i="4"/>
  <c r="I113" i="4"/>
  <c r="H113" i="4"/>
  <c r="J113" i="4" s="1"/>
  <c r="G113" i="4"/>
  <c r="E113" i="4"/>
  <c r="D113" i="4"/>
  <c r="C113" i="4"/>
  <c r="CL112" i="4"/>
  <c r="CK112" i="4"/>
  <c r="CJ112" i="4"/>
  <c r="BU112" i="4"/>
  <c r="BT112" i="4"/>
  <c r="BS112" i="4"/>
  <c r="BR112" i="4"/>
  <c r="BN112" i="4"/>
  <c r="BJ112" i="4"/>
  <c r="BA112" i="4"/>
  <c r="AZ112" i="4"/>
  <c r="AY112" i="4"/>
  <c r="AX112" i="4"/>
  <c r="AT112" i="4"/>
  <c r="AP112" i="4"/>
  <c r="AG112" i="4"/>
  <c r="AF112" i="4"/>
  <c r="AE112" i="4"/>
  <c r="AI112" i="4" s="1"/>
  <c r="BC112" i="4" s="1"/>
  <c r="AD112" i="4"/>
  <c r="Z112" i="4"/>
  <c r="V112" i="4"/>
  <c r="R112" i="4"/>
  <c r="Q112" i="4"/>
  <c r="P112" i="4"/>
  <c r="O112" i="4"/>
  <c r="N112" i="4"/>
  <c r="J112" i="4"/>
  <c r="F112" i="4"/>
  <c r="CL111" i="4"/>
  <c r="CK111" i="4"/>
  <c r="CJ111" i="4"/>
  <c r="BU111" i="4"/>
  <c r="BT111" i="4"/>
  <c r="BS111" i="4"/>
  <c r="BR111" i="4"/>
  <c r="BN111" i="4"/>
  <c r="BJ111" i="4"/>
  <c r="BA111" i="4"/>
  <c r="AZ111" i="4"/>
  <c r="AY111" i="4"/>
  <c r="AX111" i="4"/>
  <c r="AT111" i="4"/>
  <c r="AP111" i="4"/>
  <c r="AG111" i="4"/>
  <c r="AF111" i="4"/>
  <c r="AJ111" i="4" s="1"/>
  <c r="BD111" i="4" s="1"/>
  <c r="AE111" i="4"/>
  <c r="AD111" i="4"/>
  <c r="Z111" i="4"/>
  <c r="V111" i="4"/>
  <c r="Q111" i="4"/>
  <c r="P111" i="4"/>
  <c r="O111" i="4"/>
  <c r="N111" i="4"/>
  <c r="J111" i="4"/>
  <c r="F111" i="4"/>
  <c r="CL110" i="4"/>
  <c r="CK110" i="4"/>
  <c r="CJ110" i="4"/>
  <c r="BU110" i="4"/>
  <c r="BY110" i="4" s="1"/>
  <c r="BT110" i="4"/>
  <c r="BS110" i="4"/>
  <c r="BR110" i="4"/>
  <c r="BN110" i="4"/>
  <c r="BJ110" i="4"/>
  <c r="BA110" i="4"/>
  <c r="AZ110" i="4"/>
  <c r="BX110" i="4" s="1"/>
  <c r="AY110" i="4"/>
  <c r="AX110" i="4"/>
  <c r="AT110" i="4"/>
  <c r="AP110" i="4"/>
  <c r="AG110" i="4"/>
  <c r="CP110" i="4" s="1"/>
  <c r="AF110" i="4"/>
  <c r="AE110" i="4"/>
  <c r="AI110" i="4" s="1"/>
  <c r="AD110" i="4"/>
  <c r="Z110" i="4"/>
  <c r="V110" i="4"/>
  <c r="Q110" i="4"/>
  <c r="P110" i="4"/>
  <c r="R110" i="4" s="1"/>
  <c r="O110" i="4"/>
  <c r="N110" i="4"/>
  <c r="J110" i="4"/>
  <c r="F110" i="4"/>
  <c r="CL109" i="4"/>
  <c r="CK109" i="4"/>
  <c r="CJ109" i="4"/>
  <c r="BU109" i="4"/>
  <c r="BT109" i="4"/>
  <c r="BS109" i="4"/>
  <c r="BR109" i="4"/>
  <c r="BN109" i="4"/>
  <c r="BJ109" i="4"/>
  <c r="BA109" i="4"/>
  <c r="AZ109" i="4"/>
  <c r="AY109" i="4"/>
  <c r="AX109" i="4"/>
  <c r="AT109" i="4"/>
  <c r="AP109" i="4"/>
  <c r="AG109" i="4"/>
  <c r="AF109" i="4"/>
  <c r="AE109" i="4"/>
  <c r="AI109" i="4" s="1"/>
  <c r="AD109" i="4"/>
  <c r="Z109" i="4"/>
  <c r="V109" i="4"/>
  <c r="Q109" i="4"/>
  <c r="P109" i="4"/>
  <c r="R109" i="4" s="1"/>
  <c r="O109" i="4"/>
  <c r="N109" i="4"/>
  <c r="J109" i="4"/>
  <c r="F109" i="4"/>
  <c r="BP108" i="4"/>
  <c r="BM108" i="4"/>
  <c r="BL108" i="4"/>
  <c r="BK108" i="4"/>
  <c r="BG108" i="4"/>
  <c r="AU108" i="4"/>
  <c r="AS108" i="4"/>
  <c r="AR108" i="4"/>
  <c r="AQ108" i="4"/>
  <c r="AC108" i="4"/>
  <c r="AB108" i="4"/>
  <c r="Y108" i="4"/>
  <c r="W108" i="4"/>
  <c r="S108" i="4"/>
  <c r="M108" i="4"/>
  <c r="I108" i="4"/>
  <c r="G108" i="4"/>
  <c r="D108" i="4"/>
  <c r="C108" i="4"/>
  <c r="CL107" i="4"/>
  <c r="CK107" i="4"/>
  <c r="CJ107" i="4"/>
  <c r="BY107" i="4"/>
  <c r="BU107" i="4"/>
  <c r="BT107" i="4"/>
  <c r="BS107" i="4"/>
  <c r="BR107" i="4"/>
  <c r="BN107" i="4"/>
  <c r="BJ107" i="4"/>
  <c r="BA107" i="4"/>
  <c r="AZ107" i="4"/>
  <c r="BB107" i="4" s="1"/>
  <c r="AY107" i="4"/>
  <c r="AX107" i="4"/>
  <c r="AT107" i="4"/>
  <c r="AP107" i="4"/>
  <c r="AG107" i="4"/>
  <c r="AF107" i="4"/>
  <c r="AE107" i="4"/>
  <c r="AI107" i="4" s="1"/>
  <c r="BC107" i="4" s="1"/>
  <c r="AD107" i="4"/>
  <c r="Z107" i="4"/>
  <c r="V107" i="4"/>
  <c r="Q107" i="4"/>
  <c r="P107" i="4"/>
  <c r="R107" i="4" s="1"/>
  <c r="O107" i="4"/>
  <c r="N107" i="4"/>
  <c r="J107" i="4"/>
  <c r="F107" i="4"/>
  <c r="CM106" i="4"/>
  <c r="CQ106" i="4" s="1"/>
  <c r="CL106" i="4"/>
  <c r="CK106" i="4"/>
  <c r="CJ106" i="4"/>
  <c r="CN106" i="4" s="1"/>
  <c r="BU106" i="4"/>
  <c r="BP106" i="4"/>
  <c r="AW106" i="4"/>
  <c r="BA106" i="4" s="1"/>
  <c r="AN106" i="4"/>
  <c r="AZ106" i="4" s="1"/>
  <c r="AG106" i="4"/>
  <c r="AK106" i="4" s="1"/>
  <c r="BE106" i="4" s="1"/>
  <c r="AF106" i="4"/>
  <c r="Q106" i="4"/>
  <c r="CP106" i="4" s="1"/>
  <c r="J106" i="4"/>
  <c r="F106" i="4"/>
  <c r="CL105" i="4"/>
  <c r="CL102" i="4" s="1"/>
  <c r="CK105" i="4"/>
  <c r="CJ105" i="4"/>
  <c r="BU105" i="4"/>
  <c r="BU102" i="4" s="1"/>
  <c r="BT105" i="4"/>
  <c r="BS105" i="4"/>
  <c r="BW105" i="4" s="1"/>
  <c r="BR105" i="4"/>
  <c r="BN105" i="4"/>
  <c r="BJ105" i="4"/>
  <c r="BA105" i="4"/>
  <c r="AZ105" i="4"/>
  <c r="BB105" i="4" s="1"/>
  <c r="AY105" i="4"/>
  <c r="AX105" i="4"/>
  <c r="AT105" i="4"/>
  <c r="AP105" i="4"/>
  <c r="AG105" i="4"/>
  <c r="AF105" i="4"/>
  <c r="AH105" i="4" s="1"/>
  <c r="AE105" i="4"/>
  <c r="AD105" i="4"/>
  <c r="Z105" i="4"/>
  <c r="V105" i="4"/>
  <c r="Q105" i="4"/>
  <c r="P105" i="4"/>
  <c r="O105" i="4"/>
  <c r="N105" i="4"/>
  <c r="J105" i="4"/>
  <c r="F105" i="4"/>
  <c r="CL104" i="4"/>
  <c r="CJ104" i="4"/>
  <c r="BU104" i="4"/>
  <c r="BS104" i="4"/>
  <c r="BP104" i="4"/>
  <c r="BR104" i="4" s="1"/>
  <c r="BL104" i="4"/>
  <c r="BJ104" i="4"/>
  <c r="BH104" i="4"/>
  <c r="BA104" i="4"/>
  <c r="AZ104" i="4"/>
  <c r="BB104" i="4" s="1"/>
  <c r="AY104" i="4"/>
  <c r="AX104" i="4"/>
  <c r="AT104" i="4"/>
  <c r="AP104" i="4"/>
  <c r="AG104" i="4"/>
  <c r="AE104" i="4"/>
  <c r="AI104" i="4" s="1"/>
  <c r="BC104" i="4" s="1"/>
  <c r="AD104" i="4"/>
  <c r="Z104" i="4"/>
  <c r="T104" i="4"/>
  <c r="Q104" i="4"/>
  <c r="CP104" i="4" s="1"/>
  <c r="O104" i="4"/>
  <c r="L104" i="4"/>
  <c r="H104" i="4"/>
  <c r="J104" i="4" s="1"/>
  <c r="F104" i="4"/>
  <c r="D104" i="4"/>
  <c r="CP103" i="4"/>
  <c r="CL103" i="4"/>
  <c r="CK103" i="4"/>
  <c r="CJ103" i="4"/>
  <c r="BV103" i="4"/>
  <c r="BU103" i="4"/>
  <c r="BT103" i="4"/>
  <c r="BS103" i="4"/>
  <c r="BW103" i="4" s="1"/>
  <c r="BR103" i="4"/>
  <c r="BN103" i="4"/>
  <c r="BJ103" i="4"/>
  <c r="BA103" i="4"/>
  <c r="BA102" i="4" s="1"/>
  <c r="AZ103" i="4"/>
  <c r="AZ102" i="4" s="1"/>
  <c r="BB102" i="4" s="1"/>
  <c r="AY103" i="4"/>
  <c r="AX103" i="4"/>
  <c r="AT103" i="4"/>
  <c r="AP103" i="4"/>
  <c r="AG103" i="4"/>
  <c r="AF103" i="4"/>
  <c r="AE103" i="4"/>
  <c r="AD103" i="4"/>
  <c r="Z103" i="4"/>
  <c r="V103" i="4"/>
  <c r="Q103" i="4"/>
  <c r="P103" i="4"/>
  <c r="O103" i="4"/>
  <c r="N103" i="4"/>
  <c r="J103" i="4"/>
  <c r="F103" i="4"/>
  <c r="BQ102" i="4"/>
  <c r="BO102" i="4"/>
  <c r="BM102" i="4"/>
  <c r="BM100" i="4" s="1"/>
  <c r="BK102" i="4"/>
  <c r="BI102" i="4"/>
  <c r="BH102" i="4"/>
  <c r="BJ102" i="4" s="1"/>
  <c r="BG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G102" i="4"/>
  <c r="AC102" i="4"/>
  <c r="AC100" i="4" s="1"/>
  <c r="AB102" i="4"/>
  <c r="AA102" i="4"/>
  <c r="Y102" i="4"/>
  <c r="X102" i="4"/>
  <c r="Z102" i="4" s="1"/>
  <c r="W102" i="4"/>
  <c r="U102" i="4"/>
  <c r="S102" i="4"/>
  <c r="M102" i="4"/>
  <c r="M100" i="4" s="1"/>
  <c r="Q100" i="4" s="1"/>
  <c r="K102" i="4"/>
  <c r="I102" i="4"/>
  <c r="H102" i="4"/>
  <c r="G102" i="4"/>
  <c r="E102" i="4"/>
  <c r="D102" i="4"/>
  <c r="C102" i="4"/>
  <c r="CL101" i="4"/>
  <c r="CJ101" i="4"/>
  <c r="BU101" i="4"/>
  <c r="BY101" i="4" s="1"/>
  <c r="BS101" i="4"/>
  <c r="BR101" i="4"/>
  <c r="BP101" i="4"/>
  <c r="BL101" i="4"/>
  <c r="BN101" i="4" s="1"/>
  <c r="BH101" i="4"/>
  <c r="BA101" i="4"/>
  <c r="AY101" i="4"/>
  <c r="AY100" i="4" s="1"/>
  <c r="AV101" i="4"/>
  <c r="AR101" i="4"/>
  <c r="AZ101" i="4" s="1"/>
  <c r="AN101" i="4"/>
  <c r="AP101" i="4" s="1"/>
  <c r="AG101" i="4"/>
  <c r="AE101" i="4"/>
  <c r="AB101" i="4"/>
  <c r="X101" i="4"/>
  <c r="V101" i="4"/>
  <c r="Q101" i="4"/>
  <c r="P101" i="4"/>
  <c r="O101" i="4"/>
  <c r="N101" i="4"/>
  <c r="J101" i="4"/>
  <c r="F101" i="4"/>
  <c r="BQ100" i="4"/>
  <c r="BO100" i="4"/>
  <c r="BK100" i="4"/>
  <c r="BI100" i="4"/>
  <c r="BG100" i="4"/>
  <c r="AW100" i="4"/>
  <c r="AU100" i="4"/>
  <c r="AS100" i="4"/>
  <c r="AQ100" i="4"/>
  <c r="AP100" i="4"/>
  <c r="AO100" i="4"/>
  <c r="AN100" i="4"/>
  <c r="AM100" i="4"/>
  <c r="AA100" i="4"/>
  <c r="Y100" i="4"/>
  <c r="X100" i="4"/>
  <c r="W100" i="4"/>
  <c r="Z100" i="4" s="1"/>
  <c r="U100" i="4"/>
  <c r="S100" i="4"/>
  <c r="K100" i="4"/>
  <c r="I100" i="4"/>
  <c r="G100" i="4"/>
  <c r="E100" i="4"/>
  <c r="C100" i="4"/>
  <c r="CL99" i="4"/>
  <c r="CK99" i="4"/>
  <c r="CJ99" i="4"/>
  <c r="BV99" i="4"/>
  <c r="BU99" i="4"/>
  <c r="BT99" i="4"/>
  <c r="BS99" i="4"/>
  <c r="BR99" i="4"/>
  <c r="CM99" i="4" s="1"/>
  <c r="BN99" i="4"/>
  <c r="BJ99" i="4"/>
  <c r="BA99" i="4"/>
  <c r="AZ99" i="4"/>
  <c r="BB99" i="4" s="1"/>
  <c r="AY99" i="4"/>
  <c r="AX99" i="4"/>
  <c r="AT99" i="4"/>
  <c r="AP99" i="4"/>
  <c r="AG99" i="4"/>
  <c r="AK99" i="4" s="1"/>
  <c r="AF99" i="4"/>
  <c r="AE99" i="4"/>
  <c r="AD99" i="4"/>
  <c r="Z99" i="4"/>
  <c r="V99" i="4"/>
  <c r="Q99" i="4"/>
  <c r="P99" i="4"/>
  <c r="O99" i="4"/>
  <c r="N99" i="4"/>
  <c r="J99" i="4"/>
  <c r="F99" i="4"/>
  <c r="CK98" i="4"/>
  <c r="CJ98" i="4"/>
  <c r="BT98" i="4"/>
  <c r="BS98" i="4"/>
  <c r="BR98" i="4"/>
  <c r="BQ98" i="4"/>
  <c r="CL98" i="4" s="1"/>
  <c r="BN98" i="4"/>
  <c r="BJ98" i="4"/>
  <c r="BA98" i="4"/>
  <c r="AZ98" i="4"/>
  <c r="AY98" i="4"/>
  <c r="AX98" i="4"/>
  <c r="AT98" i="4"/>
  <c r="AP98" i="4"/>
  <c r="AK98" i="4"/>
  <c r="BE98" i="4" s="1"/>
  <c r="AG98" i="4"/>
  <c r="AF98" i="4"/>
  <c r="AE98" i="4"/>
  <c r="AD98" i="4"/>
  <c r="Z98" i="4"/>
  <c r="V98" i="4"/>
  <c r="Q98" i="4"/>
  <c r="P98" i="4"/>
  <c r="O98" i="4"/>
  <c r="N98" i="4"/>
  <c r="J98" i="4"/>
  <c r="F98" i="4"/>
  <c r="CJ97" i="4"/>
  <c r="BS97" i="4"/>
  <c r="BW97" i="4" s="1"/>
  <c r="BR97" i="4"/>
  <c r="BQ97" i="4"/>
  <c r="BP97" i="4"/>
  <c r="BN97" i="4"/>
  <c r="BM97" i="4"/>
  <c r="BL97" i="4"/>
  <c r="BI97" i="4"/>
  <c r="BH97" i="4"/>
  <c r="CK97" i="4" s="1"/>
  <c r="AY97" i="4"/>
  <c r="AW97" i="4"/>
  <c r="AV97" i="4"/>
  <c r="AT97" i="4"/>
  <c r="AS97" i="4"/>
  <c r="AR97" i="4"/>
  <c r="AP97" i="4"/>
  <c r="AO97" i="4"/>
  <c r="AN97" i="4"/>
  <c r="AZ97" i="4" s="1"/>
  <c r="BB97" i="4" s="1"/>
  <c r="AE97" i="4"/>
  <c r="AC97" i="4"/>
  <c r="AG97" i="4" s="1"/>
  <c r="AB97" i="4"/>
  <c r="AD97" i="4" s="1"/>
  <c r="Y97" i="4"/>
  <c r="X97" i="4"/>
  <c r="V97" i="4"/>
  <c r="T97" i="4"/>
  <c r="O97" i="4"/>
  <c r="CN97" i="4" s="1"/>
  <c r="M97" i="4"/>
  <c r="L97" i="4"/>
  <c r="P97" i="4" s="1"/>
  <c r="I97" i="4"/>
  <c r="H97" i="4"/>
  <c r="F97" i="4"/>
  <c r="E97" i="4"/>
  <c r="CL96" i="4"/>
  <c r="CK96" i="4"/>
  <c r="CJ96" i="4"/>
  <c r="BU96" i="4"/>
  <c r="BT96" i="4"/>
  <c r="BS96" i="4"/>
  <c r="BR96" i="4"/>
  <c r="BN96" i="4"/>
  <c r="BJ96" i="4"/>
  <c r="BA96" i="4"/>
  <c r="AZ96" i="4"/>
  <c r="AY96" i="4"/>
  <c r="AX96" i="4"/>
  <c r="AT96" i="4"/>
  <c r="AP96" i="4"/>
  <c r="AG96" i="4"/>
  <c r="AK96" i="4" s="1"/>
  <c r="BE96" i="4" s="1"/>
  <c r="AF96" i="4"/>
  <c r="AE96" i="4"/>
  <c r="AD96" i="4"/>
  <c r="Z96" i="4"/>
  <c r="V96" i="4"/>
  <c r="Q96" i="4"/>
  <c r="P96" i="4"/>
  <c r="R96" i="4" s="1"/>
  <c r="O96" i="4"/>
  <c r="N96" i="4"/>
  <c r="J96" i="4"/>
  <c r="F96" i="4"/>
  <c r="BM95" i="4"/>
  <c r="BS94" i="4"/>
  <c r="BV94" i="4" s="1"/>
  <c r="AY94" i="4"/>
  <c r="AX94" i="4"/>
  <c r="AT94" i="4"/>
  <c r="AP94" i="4"/>
  <c r="AG94" i="4"/>
  <c r="AF94" i="4"/>
  <c r="AE94" i="4"/>
  <c r="Q94" i="4"/>
  <c r="P94" i="4"/>
  <c r="O94" i="4"/>
  <c r="N94" i="4"/>
  <c r="F94" i="4"/>
  <c r="BS93" i="4"/>
  <c r="AY93" i="4"/>
  <c r="BW93" i="4" s="1"/>
  <c r="AP93" i="4"/>
  <c r="AG93" i="4"/>
  <c r="AF93" i="4"/>
  <c r="AE93" i="4"/>
  <c r="Q93" i="4"/>
  <c r="P93" i="4"/>
  <c r="O93" i="4"/>
  <c r="AI93" i="4" s="1"/>
  <c r="BC93" i="4" s="1"/>
  <c r="N93" i="4"/>
  <c r="BS92" i="4"/>
  <c r="AY92" i="4"/>
  <c r="BW92" i="4" s="1"/>
  <c r="AP92" i="4"/>
  <c r="AI92" i="4"/>
  <c r="AG92" i="4"/>
  <c r="AF92" i="4"/>
  <c r="AE92" i="4"/>
  <c r="Q92" i="4"/>
  <c r="P92" i="4"/>
  <c r="O92" i="4"/>
  <c r="N92" i="4"/>
  <c r="CJ91" i="4"/>
  <c r="BS91" i="4"/>
  <c r="BR91" i="4"/>
  <c r="AY91" i="4"/>
  <c r="AX91" i="4"/>
  <c r="AP91" i="4"/>
  <c r="AG91" i="4"/>
  <c r="AF91" i="4"/>
  <c r="AE91" i="4"/>
  <c r="AD91" i="4"/>
  <c r="Z91" i="4"/>
  <c r="V91" i="4"/>
  <c r="Q91" i="4"/>
  <c r="P91" i="4"/>
  <c r="O91" i="4"/>
  <c r="N91" i="4"/>
  <c r="J91" i="4"/>
  <c r="F91" i="4"/>
  <c r="CL90" i="4"/>
  <c r="CK90" i="4"/>
  <c r="CJ90" i="4"/>
  <c r="BW90" i="4"/>
  <c r="BU90" i="4"/>
  <c r="BT90" i="4"/>
  <c r="BX90" i="4" s="1"/>
  <c r="BS90" i="4"/>
  <c r="BR90" i="4"/>
  <c r="BN90" i="4"/>
  <c r="BJ90" i="4"/>
  <c r="BA90" i="4"/>
  <c r="AZ90" i="4"/>
  <c r="BB90" i="4" s="1"/>
  <c r="AY90" i="4"/>
  <c r="AX90" i="4"/>
  <c r="AT90" i="4"/>
  <c r="AP90" i="4"/>
  <c r="AG90" i="4"/>
  <c r="AF90" i="4"/>
  <c r="AE90" i="4"/>
  <c r="AI90" i="4" s="1"/>
  <c r="BC90" i="4" s="1"/>
  <c r="AD90" i="4"/>
  <c r="Z90" i="4"/>
  <c r="V90" i="4"/>
  <c r="Q90" i="4"/>
  <c r="P90" i="4"/>
  <c r="O90" i="4"/>
  <c r="N90" i="4"/>
  <c r="J90" i="4"/>
  <c r="F90" i="4"/>
  <c r="CL89" i="4"/>
  <c r="CK89" i="4"/>
  <c r="CJ89" i="4"/>
  <c r="BU89" i="4"/>
  <c r="BT89" i="4"/>
  <c r="BX89" i="4" s="1"/>
  <c r="BS89" i="4"/>
  <c r="BR89" i="4"/>
  <c r="BN89" i="4"/>
  <c r="BJ89" i="4"/>
  <c r="BA89" i="4"/>
  <c r="AZ89" i="4"/>
  <c r="AY89" i="4"/>
  <c r="AX89" i="4"/>
  <c r="AT89" i="4"/>
  <c r="AP89" i="4"/>
  <c r="AK89" i="4"/>
  <c r="BE89" i="4" s="1"/>
  <c r="AG89" i="4"/>
  <c r="AF89" i="4"/>
  <c r="AE89" i="4"/>
  <c r="AD89" i="4"/>
  <c r="Z89" i="4"/>
  <c r="V89" i="4"/>
  <c r="Q89" i="4"/>
  <c r="P89" i="4"/>
  <c r="O89" i="4"/>
  <c r="N89" i="4"/>
  <c r="J89" i="4"/>
  <c r="F89" i="4"/>
  <c r="CM88" i="4"/>
  <c r="CL88" i="4"/>
  <c r="CK88" i="4"/>
  <c r="CJ88" i="4"/>
  <c r="BT88" i="4"/>
  <c r="AG88" i="4"/>
  <c r="AF88" i="4"/>
  <c r="AE88" i="4"/>
  <c r="AI88" i="4" s="1"/>
  <c r="Q88" i="4"/>
  <c r="P88" i="4"/>
  <c r="O88" i="4"/>
  <c r="N88" i="4"/>
  <c r="J88" i="4"/>
  <c r="F88" i="4"/>
  <c r="CM87" i="4"/>
  <c r="CL87" i="4"/>
  <c r="CK87" i="4"/>
  <c r="CJ87" i="4"/>
  <c r="BU87" i="4"/>
  <c r="BT87" i="4"/>
  <c r="BV87" i="4" s="1"/>
  <c r="BS87" i="4"/>
  <c r="BA87" i="4"/>
  <c r="AZ87" i="4"/>
  <c r="AY87" i="4"/>
  <c r="AX87" i="4"/>
  <c r="AT87" i="4"/>
  <c r="AH87" i="4"/>
  <c r="AG87" i="4"/>
  <c r="AF87" i="4"/>
  <c r="AE87" i="4"/>
  <c r="R87" i="4"/>
  <c r="Q87" i="4"/>
  <c r="P87" i="4"/>
  <c r="O87" i="4"/>
  <c r="N87" i="4"/>
  <c r="J87" i="4"/>
  <c r="F87" i="4"/>
  <c r="CJ86" i="4"/>
  <c r="BU86" i="4"/>
  <c r="BS86" i="4"/>
  <c r="BM86" i="4"/>
  <c r="CL86" i="4" s="1"/>
  <c r="BL86" i="4"/>
  <c r="BN86" i="4" s="1"/>
  <c r="BJ86" i="4"/>
  <c r="BA86" i="4"/>
  <c r="AZ86" i="4"/>
  <c r="AY86" i="4"/>
  <c r="AX86" i="4"/>
  <c r="AT86" i="4"/>
  <c r="AP86" i="4"/>
  <c r="AG86" i="4"/>
  <c r="AK86" i="4" s="1"/>
  <c r="BE86" i="4" s="1"/>
  <c r="AF86" i="4"/>
  <c r="AE86" i="4"/>
  <c r="AD86" i="4"/>
  <c r="Z86" i="4"/>
  <c r="V86" i="4"/>
  <c r="Q86" i="4"/>
  <c r="P86" i="4"/>
  <c r="O86" i="4"/>
  <c r="O75" i="4" s="1"/>
  <c r="N86" i="4"/>
  <c r="J86" i="4"/>
  <c r="F86" i="4"/>
  <c r="CL85" i="4"/>
  <c r="CJ85" i="4"/>
  <c r="BU85" i="4"/>
  <c r="BS85" i="4"/>
  <c r="BP85" i="4"/>
  <c r="BL85" i="4"/>
  <c r="BN85" i="4" s="1"/>
  <c r="BJ85" i="4"/>
  <c r="BA85" i="4"/>
  <c r="AY85" i="4"/>
  <c r="AV85" i="4"/>
  <c r="AX85" i="4" s="1"/>
  <c r="AR85" i="4"/>
  <c r="AN85" i="4"/>
  <c r="AN76" i="4" s="1"/>
  <c r="AN75" i="4" s="1"/>
  <c r="AG85" i="4"/>
  <c r="AE85" i="4"/>
  <c r="AB85" i="4"/>
  <c r="AD85" i="4" s="1"/>
  <c r="Z85" i="4"/>
  <c r="Q85" i="4"/>
  <c r="O85" i="4"/>
  <c r="L85" i="4"/>
  <c r="N85" i="4" s="1"/>
  <c r="H85" i="4"/>
  <c r="D85" i="4"/>
  <c r="F85" i="4" s="1"/>
  <c r="CL84" i="4"/>
  <c r="CK84" i="4"/>
  <c r="CJ84" i="4"/>
  <c r="BU84" i="4"/>
  <c r="BT84" i="4"/>
  <c r="BS84" i="4"/>
  <c r="BR84" i="4"/>
  <c r="BN84" i="4"/>
  <c r="BJ84" i="4"/>
  <c r="BA84" i="4"/>
  <c r="AZ84" i="4"/>
  <c r="AY84" i="4"/>
  <c r="AX84" i="4"/>
  <c r="AT84" i="4"/>
  <c r="AG84" i="4"/>
  <c r="AF84" i="4"/>
  <c r="AE84" i="4"/>
  <c r="AD84" i="4"/>
  <c r="Z84" i="4"/>
  <c r="Q84" i="4"/>
  <c r="P84" i="4"/>
  <c r="O84" i="4"/>
  <c r="N84" i="4"/>
  <c r="J84" i="4"/>
  <c r="F84" i="4"/>
  <c r="CL83" i="4"/>
  <c r="CK83" i="4"/>
  <c r="CJ83" i="4"/>
  <c r="BU83" i="4"/>
  <c r="BT83" i="4"/>
  <c r="BS83" i="4"/>
  <c r="BR83" i="4"/>
  <c r="BN83" i="4"/>
  <c r="BJ83" i="4"/>
  <c r="BA83" i="4"/>
  <c r="AZ83" i="4"/>
  <c r="AY83" i="4"/>
  <c r="AX83" i="4"/>
  <c r="AT83" i="4"/>
  <c r="AG83" i="4"/>
  <c r="AF83" i="4"/>
  <c r="AE83" i="4"/>
  <c r="AD83" i="4"/>
  <c r="Z83" i="4"/>
  <c r="Q83" i="4"/>
  <c r="P83" i="4"/>
  <c r="O83" i="4"/>
  <c r="N83" i="4"/>
  <c r="F83" i="4"/>
  <c r="CL82" i="4"/>
  <c r="CK82" i="4"/>
  <c r="CJ82" i="4"/>
  <c r="BU82" i="4"/>
  <c r="BT82" i="4"/>
  <c r="BS82" i="4"/>
  <c r="BR82" i="4"/>
  <c r="BN82" i="4"/>
  <c r="BJ82" i="4"/>
  <c r="BA82" i="4"/>
  <c r="AZ82" i="4"/>
  <c r="AY82" i="4"/>
  <c r="AX82" i="4"/>
  <c r="AT82" i="4"/>
  <c r="AG82" i="4"/>
  <c r="AF82" i="4"/>
  <c r="AE82" i="4"/>
  <c r="AH82" i="4" s="1"/>
  <c r="AD82" i="4"/>
  <c r="Z82" i="4"/>
  <c r="V82" i="4"/>
  <c r="Q82" i="4"/>
  <c r="P82" i="4"/>
  <c r="O82" i="4"/>
  <c r="N82" i="4"/>
  <c r="J82" i="4"/>
  <c r="F82" i="4"/>
  <c r="CL81" i="4"/>
  <c r="CK81" i="4"/>
  <c r="CJ81" i="4"/>
  <c r="BU81" i="4"/>
  <c r="BY81" i="4" s="1"/>
  <c r="BT81" i="4"/>
  <c r="BV81" i="4" s="1"/>
  <c r="BS81" i="4"/>
  <c r="BR81" i="4"/>
  <c r="BN81" i="4"/>
  <c r="BJ81" i="4"/>
  <c r="BA81" i="4"/>
  <c r="AZ81" i="4"/>
  <c r="AY81" i="4"/>
  <c r="AX81" i="4"/>
  <c r="AT81" i="4"/>
  <c r="AP81" i="4"/>
  <c r="AG81" i="4"/>
  <c r="AF81" i="4"/>
  <c r="AE81" i="4"/>
  <c r="AH81" i="4" s="1"/>
  <c r="AD81" i="4"/>
  <c r="Z81" i="4"/>
  <c r="V81" i="4"/>
  <c r="Q81" i="4"/>
  <c r="P81" i="4"/>
  <c r="O81" i="4"/>
  <c r="N81" i="4"/>
  <c r="J81" i="4"/>
  <c r="F81" i="4"/>
  <c r="CL80" i="4"/>
  <c r="CK80" i="4"/>
  <c r="CJ80" i="4"/>
  <c r="BU80" i="4"/>
  <c r="BT80" i="4"/>
  <c r="BS80" i="4"/>
  <c r="BR80" i="4"/>
  <c r="BN80" i="4"/>
  <c r="BJ80" i="4"/>
  <c r="BA80" i="4"/>
  <c r="AZ80" i="4"/>
  <c r="BX80" i="4" s="1"/>
  <c r="AY80" i="4"/>
  <c r="AX80" i="4"/>
  <c r="AT80" i="4"/>
  <c r="AP80" i="4"/>
  <c r="AG80" i="4"/>
  <c r="AF80" i="4"/>
  <c r="AE80" i="4"/>
  <c r="AD80" i="4"/>
  <c r="Z80" i="4"/>
  <c r="V80" i="4"/>
  <c r="Q80" i="4"/>
  <c r="P80" i="4"/>
  <c r="R80" i="4" s="1"/>
  <c r="O80" i="4"/>
  <c r="N80" i="4"/>
  <c r="J80" i="4"/>
  <c r="F80" i="4"/>
  <c r="CL79" i="4"/>
  <c r="CK79" i="4"/>
  <c r="CJ79" i="4"/>
  <c r="BU79" i="4"/>
  <c r="BT79" i="4"/>
  <c r="BS79" i="4"/>
  <c r="BR79" i="4"/>
  <c r="BN79" i="4"/>
  <c r="BJ79" i="4"/>
  <c r="BA79" i="4"/>
  <c r="AZ79" i="4"/>
  <c r="AY79" i="4"/>
  <c r="AX79" i="4"/>
  <c r="AT79" i="4"/>
  <c r="AP79" i="4"/>
  <c r="AG79" i="4"/>
  <c r="AE79" i="4"/>
  <c r="AH79" i="4" s="1"/>
  <c r="AD79" i="4"/>
  <c r="Z79" i="4"/>
  <c r="V79" i="4"/>
  <c r="Q79" i="4"/>
  <c r="P79" i="4"/>
  <c r="CO79" i="4" s="1"/>
  <c r="O79" i="4"/>
  <c r="N79" i="4"/>
  <c r="J79" i="4"/>
  <c r="F79" i="4"/>
  <c r="CJ78" i="4"/>
  <c r="BS78" i="4"/>
  <c r="BR78" i="4"/>
  <c r="BQ78" i="4"/>
  <c r="CL78" i="4" s="1"/>
  <c r="BP78" i="4"/>
  <c r="CK78" i="4" s="1"/>
  <c r="BN78" i="4"/>
  <c r="BJ78" i="4"/>
  <c r="BA78" i="4"/>
  <c r="AZ78" i="4"/>
  <c r="AY78" i="4"/>
  <c r="AX78" i="4"/>
  <c r="AT78" i="4"/>
  <c r="AP78" i="4"/>
  <c r="AG78" i="4"/>
  <c r="AK78" i="4" s="1"/>
  <c r="BE78" i="4" s="1"/>
  <c r="AF78" i="4"/>
  <c r="AJ78" i="4" s="1"/>
  <c r="AE78" i="4"/>
  <c r="AD78" i="4"/>
  <c r="Z78" i="4"/>
  <c r="V78" i="4"/>
  <c r="O78" i="4"/>
  <c r="N78" i="4"/>
  <c r="J78" i="4"/>
  <c r="I78" i="4"/>
  <c r="Q78" i="4" s="1"/>
  <c r="H78" i="4"/>
  <c r="P78" i="4" s="1"/>
  <c r="R78" i="4" s="1"/>
  <c r="F78" i="4"/>
  <c r="CL77" i="4"/>
  <c r="CK77" i="4"/>
  <c r="CJ77" i="4"/>
  <c r="BU77" i="4"/>
  <c r="BT77" i="4"/>
  <c r="BS77" i="4"/>
  <c r="BR77" i="4"/>
  <c r="BN77" i="4"/>
  <c r="BJ77" i="4"/>
  <c r="BA77" i="4"/>
  <c r="AZ77" i="4"/>
  <c r="BB77" i="4" s="1"/>
  <c r="AY77" i="4"/>
  <c r="AX77" i="4"/>
  <c r="AT77" i="4"/>
  <c r="AP77" i="4"/>
  <c r="AG77" i="4"/>
  <c r="AK77" i="4" s="1"/>
  <c r="AF77" i="4"/>
  <c r="AE77" i="4"/>
  <c r="AD77" i="4"/>
  <c r="Z77" i="4"/>
  <c r="V77" i="4"/>
  <c r="Q77" i="4"/>
  <c r="P77" i="4"/>
  <c r="O77" i="4"/>
  <c r="CN77" i="4" s="1"/>
  <c r="N77" i="4"/>
  <c r="J77" i="4"/>
  <c r="F77" i="4"/>
  <c r="BS76" i="4"/>
  <c r="BM76" i="4"/>
  <c r="BM75" i="4" s="1"/>
  <c r="BL76" i="4"/>
  <c r="BI76" i="4"/>
  <c r="BH76" i="4"/>
  <c r="BH75" i="4" s="1"/>
  <c r="AY76" i="4"/>
  <c r="AW76" i="4"/>
  <c r="AV76" i="4"/>
  <c r="AS76" i="4"/>
  <c r="AS75" i="4" s="1"/>
  <c r="AO76" i="4"/>
  <c r="AO75" i="4" s="1"/>
  <c r="AE76" i="4"/>
  <c r="AC76" i="4"/>
  <c r="AB76" i="4"/>
  <c r="AD76" i="4" s="1"/>
  <c r="Y76" i="4"/>
  <c r="X76" i="4"/>
  <c r="V76" i="4"/>
  <c r="U76" i="4"/>
  <c r="U75" i="4" s="1"/>
  <c r="T76" i="4"/>
  <c r="T75" i="4" s="1"/>
  <c r="O76" i="4"/>
  <c r="N76" i="4"/>
  <c r="M76" i="4"/>
  <c r="L76" i="4"/>
  <c r="H76" i="4"/>
  <c r="J76" i="4" s="1"/>
  <c r="E76" i="4"/>
  <c r="E75" i="4" s="1"/>
  <c r="D76" i="4"/>
  <c r="BO75" i="4"/>
  <c r="BK75" i="4"/>
  <c r="BG75" i="4"/>
  <c r="AW75" i="4"/>
  <c r="AU75" i="4"/>
  <c r="AQ75" i="4"/>
  <c r="AM75" i="4"/>
  <c r="AE75" i="4"/>
  <c r="AA75" i="4"/>
  <c r="Y75" i="4"/>
  <c r="W75" i="4"/>
  <c r="S75" i="4"/>
  <c r="L75" i="4"/>
  <c r="K75" i="4"/>
  <c r="G75" i="4"/>
  <c r="C75" i="4"/>
  <c r="CL74" i="4"/>
  <c r="CK74" i="4"/>
  <c r="CJ74" i="4"/>
  <c r="BU74" i="4"/>
  <c r="BT74" i="4"/>
  <c r="BS74" i="4"/>
  <c r="BR74" i="4"/>
  <c r="BN74" i="4"/>
  <c r="BJ74" i="4"/>
  <c r="BA74" i="4"/>
  <c r="AZ74" i="4"/>
  <c r="AY74" i="4"/>
  <c r="AX74" i="4"/>
  <c r="AT74" i="4"/>
  <c r="AP74" i="4"/>
  <c r="AG74" i="4"/>
  <c r="AF74" i="4"/>
  <c r="AE74" i="4"/>
  <c r="AD74" i="4"/>
  <c r="Z74" i="4"/>
  <c r="V74" i="4"/>
  <c r="Q74" i="4"/>
  <c r="P74" i="4"/>
  <c r="O74" i="4"/>
  <c r="N74" i="4"/>
  <c r="J74" i="4"/>
  <c r="F74" i="4"/>
  <c r="CL73" i="4"/>
  <c r="CK73" i="4"/>
  <c r="CJ73" i="4"/>
  <c r="BU73" i="4"/>
  <c r="BT73" i="4"/>
  <c r="BR73" i="4"/>
  <c r="CM73" i="4" s="1"/>
  <c r="BA73" i="4"/>
  <c r="AZ73" i="4"/>
  <c r="AY73" i="4"/>
  <c r="AG73" i="4"/>
  <c r="AF73" i="4"/>
  <c r="AH73" i="4" s="1"/>
  <c r="AD73" i="4"/>
  <c r="Q73" i="4"/>
  <c r="P73" i="4"/>
  <c r="O73" i="4"/>
  <c r="J73" i="4"/>
  <c r="F73" i="4"/>
  <c r="CL72" i="4"/>
  <c r="CK72" i="4"/>
  <c r="CJ72" i="4"/>
  <c r="BU72" i="4"/>
  <c r="BT72" i="4"/>
  <c r="BS72" i="4"/>
  <c r="BW72" i="4" s="1"/>
  <c r="BR72" i="4"/>
  <c r="BN72" i="4"/>
  <c r="BJ72" i="4"/>
  <c r="BA72" i="4"/>
  <c r="AZ72" i="4"/>
  <c r="AY72" i="4"/>
  <c r="AV72" i="4"/>
  <c r="AX72" i="4" s="1"/>
  <c r="AT72" i="4"/>
  <c r="AP72" i="4"/>
  <c r="AG72" i="4"/>
  <c r="AF72" i="4"/>
  <c r="AE72" i="4"/>
  <c r="AD72" i="4"/>
  <c r="Z72" i="4"/>
  <c r="V72" i="4"/>
  <c r="Q72" i="4"/>
  <c r="CP72" i="4" s="1"/>
  <c r="P72" i="4"/>
  <c r="O72" i="4"/>
  <c r="N72" i="4"/>
  <c r="J72" i="4"/>
  <c r="F72" i="4"/>
  <c r="CL71" i="4"/>
  <c r="CK71" i="4"/>
  <c r="CJ71" i="4"/>
  <c r="BU71" i="4"/>
  <c r="BT71" i="4"/>
  <c r="BS71" i="4"/>
  <c r="BR71" i="4"/>
  <c r="BN71" i="4"/>
  <c r="BJ71" i="4"/>
  <c r="BA71" i="4"/>
  <c r="AZ71" i="4"/>
  <c r="AY71" i="4"/>
  <c r="AX71" i="4"/>
  <c r="AT71" i="4"/>
  <c r="AP71" i="4"/>
  <c r="AG71" i="4"/>
  <c r="AF71" i="4"/>
  <c r="AE71" i="4"/>
  <c r="AD71" i="4"/>
  <c r="Z71" i="4"/>
  <c r="V71" i="4"/>
  <c r="Q71" i="4"/>
  <c r="O71" i="4"/>
  <c r="N71" i="4"/>
  <c r="H71" i="4"/>
  <c r="J71" i="4" s="1"/>
  <c r="F71" i="4"/>
  <c r="CL70" i="4"/>
  <c r="CK70" i="4"/>
  <c r="CJ70" i="4"/>
  <c r="BU70" i="4"/>
  <c r="BT70" i="4"/>
  <c r="BS70" i="4"/>
  <c r="BR70" i="4"/>
  <c r="BN70" i="4"/>
  <c r="BJ70" i="4"/>
  <c r="BA70" i="4"/>
  <c r="AZ70" i="4"/>
  <c r="AY70" i="4"/>
  <c r="AX70" i="4"/>
  <c r="AT70" i="4"/>
  <c r="AP70" i="4"/>
  <c r="AG70" i="4"/>
  <c r="AF70" i="4"/>
  <c r="AE70" i="4"/>
  <c r="AD70" i="4"/>
  <c r="Z70" i="4"/>
  <c r="V70" i="4"/>
  <c r="Q70" i="4"/>
  <c r="P70" i="4"/>
  <c r="O70" i="4"/>
  <c r="N70" i="4"/>
  <c r="J70" i="4"/>
  <c r="F70" i="4"/>
  <c r="CL69" i="4"/>
  <c r="CK69" i="4"/>
  <c r="CJ69" i="4"/>
  <c r="BU69" i="4"/>
  <c r="BT69" i="4"/>
  <c r="BS69" i="4"/>
  <c r="BR69" i="4"/>
  <c r="BN69" i="4"/>
  <c r="BJ69" i="4"/>
  <c r="BA69" i="4"/>
  <c r="AZ69" i="4"/>
  <c r="AY69" i="4"/>
  <c r="BB69" i="4" s="1"/>
  <c r="AX69" i="4"/>
  <c r="AT69" i="4"/>
  <c r="AP69" i="4"/>
  <c r="AG69" i="4"/>
  <c r="AF69" i="4"/>
  <c r="AH69" i="4" s="1"/>
  <c r="AE69" i="4"/>
  <c r="AD69" i="4"/>
  <c r="Z69" i="4"/>
  <c r="V69" i="4"/>
  <c r="O69" i="4"/>
  <c r="CN69" i="4" s="1"/>
  <c r="L69" i="4"/>
  <c r="N69" i="4" s="1"/>
  <c r="J69" i="4"/>
  <c r="I69" i="4"/>
  <c r="H69" i="4"/>
  <c r="P69" i="4" s="1"/>
  <c r="F69" i="4"/>
  <c r="CJ68" i="4"/>
  <c r="BS68" i="4"/>
  <c r="BP68" i="4"/>
  <c r="BR68" i="4" s="1"/>
  <c r="BL68" i="4"/>
  <c r="BJ68" i="4"/>
  <c r="BI68" i="4"/>
  <c r="CL68" i="4" s="1"/>
  <c r="BA68" i="4"/>
  <c r="AY68" i="4"/>
  <c r="AV68" i="4"/>
  <c r="AX68" i="4" s="1"/>
  <c r="AR68" i="4"/>
  <c r="AT68" i="4" s="1"/>
  <c r="AN68" i="4"/>
  <c r="AG68" i="4"/>
  <c r="AF68" i="4"/>
  <c r="AE68" i="4"/>
  <c r="AD68" i="4"/>
  <c r="Z68" i="4"/>
  <c r="Y68" i="4"/>
  <c r="V68" i="4"/>
  <c r="Q68" i="4"/>
  <c r="P68" i="4"/>
  <c r="R68" i="4" s="1"/>
  <c r="O68" i="4"/>
  <c r="N68" i="4"/>
  <c r="J68" i="4"/>
  <c r="F68" i="4"/>
  <c r="CL67" i="4"/>
  <c r="CK67" i="4"/>
  <c r="CJ67" i="4"/>
  <c r="BU67" i="4"/>
  <c r="BT67" i="4"/>
  <c r="BS67" i="4"/>
  <c r="BR67" i="4"/>
  <c r="BN67" i="4"/>
  <c r="BJ67" i="4"/>
  <c r="BA67" i="4"/>
  <c r="AZ67" i="4"/>
  <c r="AY67" i="4"/>
  <c r="BB67" i="4" s="1"/>
  <c r="AX67" i="4"/>
  <c r="AT67" i="4"/>
  <c r="AP67" i="4"/>
  <c r="AH67" i="4"/>
  <c r="AG67" i="4"/>
  <c r="AF67" i="4"/>
  <c r="AE67" i="4"/>
  <c r="AD67" i="4"/>
  <c r="Z67" i="4"/>
  <c r="V67" i="4"/>
  <c r="Q67" i="4"/>
  <c r="P67" i="4"/>
  <c r="CO67" i="4" s="1"/>
  <c r="O67" i="4"/>
  <c r="N67" i="4"/>
  <c r="J67" i="4"/>
  <c r="F67" i="4"/>
  <c r="CL66" i="4"/>
  <c r="CK66" i="4"/>
  <c r="CJ66" i="4"/>
  <c r="BU66" i="4"/>
  <c r="BT66" i="4"/>
  <c r="BS66" i="4"/>
  <c r="BR66" i="4"/>
  <c r="BN66" i="4"/>
  <c r="BJ66" i="4"/>
  <c r="AY66" i="4"/>
  <c r="AW66" i="4"/>
  <c r="AW64" i="4" s="1"/>
  <c r="AV66" i="4"/>
  <c r="AX66" i="4" s="1"/>
  <c r="AT66" i="4"/>
  <c r="AO66" i="4"/>
  <c r="AN66" i="4"/>
  <c r="AZ66" i="4" s="1"/>
  <c r="AG66" i="4"/>
  <c r="AF66" i="4"/>
  <c r="AE66" i="4"/>
  <c r="AH66" i="4" s="1"/>
  <c r="AD66" i="4"/>
  <c r="Z66" i="4"/>
  <c r="V66" i="4"/>
  <c r="Q66" i="4"/>
  <c r="P66" i="4"/>
  <c r="O66" i="4"/>
  <c r="N66" i="4"/>
  <c r="J66" i="4"/>
  <c r="F66" i="4"/>
  <c r="CJ65" i="4"/>
  <c r="CJ64" i="4" s="1"/>
  <c r="BS65" i="4"/>
  <c r="BQ65" i="4"/>
  <c r="BP65" i="4"/>
  <c r="BN65" i="4"/>
  <c r="BJ65" i="4"/>
  <c r="BA65" i="4"/>
  <c r="AY65" i="4"/>
  <c r="AV65" i="4"/>
  <c r="AT65" i="4"/>
  <c r="AP65" i="4"/>
  <c r="AG65" i="4"/>
  <c r="AF65" i="4"/>
  <c r="AE65" i="4"/>
  <c r="AD65" i="4"/>
  <c r="Z65" i="4"/>
  <c r="V65" i="4"/>
  <c r="Q65" i="4"/>
  <c r="P65" i="4"/>
  <c r="O65" i="4"/>
  <c r="N65" i="4"/>
  <c r="J65" i="4"/>
  <c r="F65" i="4"/>
  <c r="BO64" i="4"/>
  <c r="BM64" i="4"/>
  <c r="BK64" i="4"/>
  <c r="BI64" i="4"/>
  <c r="BH64" i="4"/>
  <c r="BG64" i="4"/>
  <c r="AU64" i="4"/>
  <c r="AS64" i="4"/>
  <c r="AR64" i="4"/>
  <c r="AQ64" i="4"/>
  <c r="AM64" i="4"/>
  <c r="AE64" i="4"/>
  <c r="AC64" i="4"/>
  <c r="AB64" i="4"/>
  <c r="AA64" i="4"/>
  <c r="Y64" i="4"/>
  <c r="X64" i="4"/>
  <c r="W64" i="4"/>
  <c r="U64" i="4"/>
  <c r="T64" i="4"/>
  <c r="S64" i="4"/>
  <c r="M64" i="4"/>
  <c r="L64" i="4"/>
  <c r="K64" i="4"/>
  <c r="G64" i="4"/>
  <c r="E64" i="4"/>
  <c r="D64" i="4"/>
  <c r="C64" i="4"/>
  <c r="CL63" i="4"/>
  <c r="CK63" i="4"/>
  <c r="CJ63" i="4"/>
  <c r="BU63" i="4"/>
  <c r="BT63" i="4"/>
  <c r="BS63" i="4"/>
  <c r="BR63" i="4"/>
  <c r="BN63" i="4"/>
  <c r="BJ63" i="4"/>
  <c r="BA63" i="4"/>
  <c r="AZ63" i="4"/>
  <c r="BB63" i="4" s="1"/>
  <c r="AY63" i="4"/>
  <c r="AX63" i="4"/>
  <c r="AT63" i="4"/>
  <c r="AP63" i="4"/>
  <c r="AG63" i="4"/>
  <c r="AF63" i="4"/>
  <c r="AE63" i="4"/>
  <c r="AD63" i="4"/>
  <c r="Z63" i="4"/>
  <c r="V63" i="4"/>
  <c r="Q63" i="4"/>
  <c r="P63" i="4"/>
  <c r="O63" i="4"/>
  <c r="N63" i="4"/>
  <c r="J63" i="4"/>
  <c r="F63" i="4"/>
  <c r="CL62" i="4"/>
  <c r="CK62" i="4"/>
  <c r="CJ62" i="4"/>
  <c r="BU62" i="4"/>
  <c r="BT62" i="4"/>
  <c r="BS62" i="4"/>
  <c r="BR62" i="4"/>
  <c r="BN62" i="4"/>
  <c r="BJ62" i="4"/>
  <c r="BA62" i="4"/>
  <c r="AZ62" i="4"/>
  <c r="BB62" i="4" s="1"/>
  <c r="AY62" i="4"/>
  <c r="AX62" i="4"/>
  <c r="AT62" i="4"/>
  <c r="AP62" i="4"/>
  <c r="AG62" i="4"/>
  <c r="AF62" i="4"/>
  <c r="AE62" i="4"/>
  <c r="AD62" i="4"/>
  <c r="Z62" i="4"/>
  <c r="V62" i="4"/>
  <c r="Q62" i="4"/>
  <c r="P62" i="4"/>
  <c r="O62" i="4"/>
  <c r="N62" i="4"/>
  <c r="J62" i="4"/>
  <c r="F62" i="4"/>
  <c r="CL61" i="4"/>
  <c r="CK61" i="4"/>
  <c r="CJ61" i="4"/>
  <c r="BU61" i="4"/>
  <c r="BT61" i="4"/>
  <c r="BS61" i="4"/>
  <c r="BR61" i="4"/>
  <c r="BN61" i="4"/>
  <c r="BJ61" i="4"/>
  <c r="BA61" i="4"/>
  <c r="AZ61" i="4"/>
  <c r="AY61" i="4"/>
  <c r="AX61" i="4"/>
  <c r="AT61" i="4"/>
  <c r="AP61" i="4"/>
  <c r="AG61" i="4"/>
  <c r="AF61" i="4"/>
  <c r="AE61" i="4"/>
  <c r="AD61" i="4"/>
  <c r="Z61" i="4"/>
  <c r="V61" i="4"/>
  <c r="Q61" i="4"/>
  <c r="P61" i="4"/>
  <c r="O61" i="4"/>
  <c r="N61" i="4"/>
  <c r="J61" i="4"/>
  <c r="F61" i="4"/>
  <c r="CL60" i="4"/>
  <c r="CK60" i="4"/>
  <c r="CJ60" i="4"/>
  <c r="BU60" i="4"/>
  <c r="BT60" i="4"/>
  <c r="BV60" i="4" s="1"/>
  <c r="BS60" i="4"/>
  <c r="BR60" i="4"/>
  <c r="BN60" i="4"/>
  <c r="BJ60" i="4"/>
  <c r="CM60" i="4" s="1"/>
  <c r="BA60" i="4"/>
  <c r="AZ60" i="4"/>
  <c r="BB60" i="4" s="1"/>
  <c r="AY60" i="4"/>
  <c r="AX60" i="4"/>
  <c r="AT60" i="4"/>
  <c r="AP60" i="4"/>
  <c r="AG60" i="4"/>
  <c r="AF60" i="4"/>
  <c r="AE60" i="4"/>
  <c r="AD60" i="4"/>
  <c r="Z60" i="4"/>
  <c r="V60" i="4"/>
  <c r="Q60" i="4"/>
  <c r="P60" i="4"/>
  <c r="O60" i="4"/>
  <c r="N60" i="4"/>
  <c r="J60" i="4"/>
  <c r="F60" i="4"/>
  <c r="CL59" i="4"/>
  <c r="CK59" i="4"/>
  <c r="CJ59" i="4"/>
  <c r="BW59" i="4"/>
  <c r="BU59" i="4"/>
  <c r="BT59" i="4"/>
  <c r="BS59" i="4"/>
  <c r="BR59" i="4"/>
  <c r="BN59" i="4"/>
  <c r="BJ59" i="4"/>
  <c r="BA59" i="4"/>
  <c r="AZ59" i="4"/>
  <c r="BB59" i="4" s="1"/>
  <c r="AY59" i="4"/>
  <c r="AX59" i="4"/>
  <c r="AT59" i="4"/>
  <c r="AP59" i="4"/>
  <c r="AG59" i="4"/>
  <c r="AF59" i="4"/>
  <c r="AE59" i="4"/>
  <c r="AD59" i="4"/>
  <c r="Z59" i="4"/>
  <c r="V59" i="4"/>
  <c r="Q59" i="4"/>
  <c r="P59" i="4"/>
  <c r="O59" i="4"/>
  <c r="N59" i="4"/>
  <c r="J59" i="4"/>
  <c r="F59" i="4"/>
  <c r="CL58" i="4"/>
  <c r="CK58" i="4"/>
  <c r="CK56" i="4" s="1"/>
  <c r="CJ58" i="4"/>
  <c r="BU58" i="4"/>
  <c r="BT58" i="4"/>
  <c r="BS58" i="4"/>
  <c r="BR58" i="4"/>
  <c r="BN58" i="4"/>
  <c r="BJ58" i="4"/>
  <c r="BA58" i="4"/>
  <c r="AZ58" i="4"/>
  <c r="AY58" i="4"/>
  <c r="AX58" i="4"/>
  <c r="AT58" i="4"/>
  <c r="AP58" i="4"/>
  <c r="AK58" i="4"/>
  <c r="AG58" i="4"/>
  <c r="AF58" i="4"/>
  <c r="AE58" i="4"/>
  <c r="AD58" i="4"/>
  <c r="Z58" i="4"/>
  <c r="V58" i="4"/>
  <c r="Q58" i="4"/>
  <c r="P58" i="4"/>
  <c r="O58" i="4"/>
  <c r="N58" i="4"/>
  <c r="J58" i="4"/>
  <c r="F58" i="4"/>
  <c r="CM57" i="4"/>
  <c r="CQ57" i="4" s="1"/>
  <c r="CL57" i="4"/>
  <c r="CP57" i="4" s="1"/>
  <c r="CK57" i="4"/>
  <c r="CO57" i="4" s="1"/>
  <c r="CJ57" i="4"/>
  <c r="J57" i="4"/>
  <c r="BQ56" i="4"/>
  <c r="BP56" i="4"/>
  <c r="BO56" i="4"/>
  <c r="BS56" i="4" s="1"/>
  <c r="BW56" i="4" s="1"/>
  <c r="BM56" i="4"/>
  <c r="BL56" i="4"/>
  <c r="BI56" i="4"/>
  <c r="BH56" i="4"/>
  <c r="BJ56" i="4" s="1"/>
  <c r="AY56" i="4"/>
  <c r="AX56" i="4"/>
  <c r="AW56" i="4"/>
  <c r="AV56" i="4"/>
  <c r="AS56" i="4"/>
  <c r="AR56" i="4"/>
  <c r="AT56" i="4" s="1"/>
  <c r="AO56" i="4"/>
  <c r="AN56" i="4"/>
  <c r="AE56" i="4"/>
  <c r="AI56" i="4" s="1"/>
  <c r="BC56" i="4" s="1"/>
  <c r="AC56" i="4"/>
  <c r="AB56" i="4"/>
  <c r="AD56" i="4" s="1"/>
  <c r="Z56" i="4"/>
  <c r="U56" i="4"/>
  <c r="AG56" i="4" s="1"/>
  <c r="T56" i="4"/>
  <c r="V56" i="4" s="1"/>
  <c r="O56" i="4"/>
  <c r="M56" i="4"/>
  <c r="L56" i="4"/>
  <c r="N56" i="4" s="1"/>
  <c r="I56" i="4"/>
  <c r="H56" i="4"/>
  <c r="J56" i="4" s="1"/>
  <c r="E56" i="4"/>
  <c r="D56" i="4"/>
  <c r="F56" i="4" s="1"/>
  <c r="CL55" i="4"/>
  <c r="CK55" i="4"/>
  <c r="CJ55" i="4"/>
  <c r="CN55" i="4" s="1"/>
  <c r="BU55" i="4"/>
  <c r="BT55" i="4"/>
  <c r="BS55" i="4"/>
  <c r="BR55" i="4"/>
  <c r="BN55" i="4"/>
  <c r="BJ55" i="4"/>
  <c r="BA55" i="4"/>
  <c r="AZ55" i="4"/>
  <c r="BB55" i="4" s="1"/>
  <c r="AY55" i="4"/>
  <c r="AX55" i="4"/>
  <c r="AT55" i="4"/>
  <c r="AP55" i="4"/>
  <c r="AG55" i="4"/>
  <c r="AF55" i="4"/>
  <c r="AE55" i="4"/>
  <c r="AD55" i="4"/>
  <c r="Z55" i="4"/>
  <c r="V55" i="4"/>
  <c r="Q55" i="4"/>
  <c r="P55" i="4"/>
  <c r="O55" i="4"/>
  <c r="N55" i="4"/>
  <c r="J55" i="4"/>
  <c r="F55" i="4"/>
  <c r="CL54" i="4"/>
  <c r="CK54" i="4"/>
  <c r="CJ54" i="4"/>
  <c r="BU54" i="4"/>
  <c r="BT54" i="4"/>
  <c r="BV54" i="4" s="1"/>
  <c r="BS54" i="4"/>
  <c r="BR54" i="4"/>
  <c r="BN54" i="4"/>
  <c r="BJ54" i="4"/>
  <c r="BA54" i="4"/>
  <c r="AZ54" i="4"/>
  <c r="BB54" i="4" s="1"/>
  <c r="AY54" i="4"/>
  <c r="AX54" i="4"/>
  <c r="AT54" i="4"/>
  <c r="AP54" i="4"/>
  <c r="AF54" i="4"/>
  <c r="AE54" i="4"/>
  <c r="AD54" i="4"/>
  <c r="AC54" i="4"/>
  <c r="AC52" i="4" s="1"/>
  <c r="Z54" i="4"/>
  <c r="V54" i="4"/>
  <c r="P54" i="4"/>
  <c r="O54" i="4"/>
  <c r="N54" i="4"/>
  <c r="J54" i="4"/>
  <c r="I54" i="4"/>
  <c r="F54" i="4"/>
  <c r="CL53" i="4"/>
  <c r="CK53" i="4"/>
  <c r="CK52" i="4" s="1"/>
  <c r="CJ53" i="4"/>
  <c r="BU53" i="4"/>
  <c r="BT53" i="4"/>
  <c r="BS53" i="4"/>
  <c r="BR53" i="4"/>
  <c r="BN53" i="4"/>
  <c r="BJ53" i="4"/>
  <c r="BA53" i="4"/>
  <c r="AZ53" i="4"/>
  <c r="AY53" i="4"/>
  <c r="AX53" i="4"/>
  <c r="AT53" i="4"/>
  <c r="AP53" i="4"/>
  <c r="AG53" i="4"/>
  <c r="AF53" i="4"/>
  <c r="AE53" i="4"/>
  <c r="AD53" i="4"/>
  <c r="AD52" i="4" s="1"/>
  <c r="Z53" i="4"/>
  <c r="V53" i="4"/>
  <c r="V52" i="4" s="1"/>
  <c r="P53" i="4"/>
  <c r="O53" i="4"/>
  <c r="N53" i="4"/>
  <c r="J53" i="4"/>
  <c r="F53" i="4"/>
  <c r="E53" i="4"/>
  <c r="Q53" i="4" s="1"/>
  <c r="CP53" i="4" s="1"/>
  <c r="BQ52" i="4"/>
  <c r="BP52" i="4"/>
  <c r="BO52" i="4"/>
  <c r="BM52" i="4"/>
  <c r="BL52" i="4"/>
  <c r="BK52" i="4"/>
  <c r="BI52" i="4"/>
  <c r="BH52" i="4"/>
  <c r="BG52" i="4"/>
  <c r="AY52" i="4"/>
  <c r="AW52" i="4"/>
  <c r="AV52" i="4"/>
  <c r="AU52" i="4"/>
  <c r="AT52" i="4"/>
  <c r="AS52" i="4"/>
  <c r="AR52" i="4"/>
  <c r="AQ52" i="4"/>
  <c r="AO52" i="4"/>
  <c r="AN52" i="4"/>
  <c r="AM52" i="4"/>
  <c r="AB52" i="4"/>
  <c r="AA52" i="4"/>
  <c r="Y52" i="4"/>
  <c r="X52" i="4"/>
  <c r="W52" i="4"/>
  <c r="U52" i="4"/>
  <c r="T52" i="4"/>
  <c r="S52" i="4"/>
  <c r="N52" i="4"/>
  <c r="M52" i="4"/>
  <c r="L52" i="4"/>
  <c r="K52" i="4"/>
  <c r="J52" i="4"/>
  <c r="H52" i="4"/>
  <c r="G52" i="4"/>
  <c r="E52" i="4"/>
  <c r="D52" i="4"/>
  <c r="C52" i="4"/>
  <c r="CJ51" i="4"/>
  <c r="BS51" i="4"/>
  <c r="BR51" i="4"/>
  <c r="BQ51" i="4"/>
  <c r="BP51" i="4"/>
  <c r="BM51" i="4"/>
  <c r="BL51" i="4"/>
  <c r="BN51" i="4" s="1"/>
  <c r="BI51" i="4"/>
  <c r="BI49" i="4" s="1"/>
  <c r="BH51" i="4"/>
  <c r="AY51" i="4"/>
  <c r="AX51" i="4"/>
  <c r="AW51" i="4"/>
  <c r="AW49" i="4" s="1"/>
  <c r="AV51" i="4"/>
  <c r="AT51" i="4"/>
  <c r="AS51" i="4"/>
  <c r="AR51" i="4"/>
  <c r="AO51" i="4"/>
  <c r="AN51" i="4"/>
  <c r="AZ51" i="4" s="1"/>
  <c r="BB51" i="4" s="1"/>
  <c r="AE51" i="4"/>
  <c r="AC51" i="4"/>
  <c r="AB51" i="4"/>
  <c r="Z51" i="4"/>
  <c r="Y51" i="4"/>
  <c r="X51" i="4"/>
  <c r="V51" i="4"/>
  <c r="U51" i="4"/>
  <c r="T51" i="4"/>
  <c r="O51" i="4"/>
  <c r="M51" i="4"/>
  <c r="Q51" i="4" s="1"/>
  <c r="L51" i="4"/>
  <c r="I51" i="4"/>
  <c r="H51" i="4"/>
  <c r="F51" i="4"/>
  <c r="E51" i="4"/>
  <c r="D51" i="4"/>
  <c r="CJ50" i="4"/>
  <c r="BS50" i="4"/>
  <c r="BQ50" i="4"/>
  <c r="BP50" i="4"/>
  <c r="BM50" i="4"/>
  <c r="BL50" i="4"/>
  <c r="BL49" i="4" s="1"/>
  <c r="BH50" i="4"/>
  <c r="BJ50" i="4" s="1"/>
  <c r="AY50" i="4"/>
  <c r="AW50" i="4"/>
  <c r="AV50" i="4"/>
  <c r="AX50" i="4" s="1"/>
  <c r="AR50" i="4"/>
  <c r="AO50" i="4"/>
  <c r="BA50" i="4" s="1"/>
  <c r="AN50" i="4"/>
  <c r="AP50" i="4" s="1"/>
  <c r="AG50" i="4"/>
  <c r="AF50" i="4"/>
  <c r="AH50" i="4" s="1"/>
  <c r="AE50" i="4"/>
  <c r="AD50" i="4"/>
  <c r="AB50" i="4"/>
  <c r="Z50" i="4"/>
  <c r="V50" i="4"/>
  <c r="O50" i="4"/>
  <c r="CN50" i="4" s="1"/>
  <c r="M50" i="4"/>
  <c r="L50" i="4"/>
  <c r="N50" i="4" s="1"/>
  <c r="I50" i="4"/>
  <c r="I49" i="4" s="1"/>
  <c r="H50" i="4"/>
  <c r="J50" i="4" s="1"/>
  <c r="E50" i="4"/>
  <c r="E49" i="4" s="1"/>
  <c r="D50" i="4"/>
  <c r="BQ49" i="4"/>
  <c r="BO49" i="4"/>
  <c r="BK49" i="4"/>
  <c r="BG49" i="4"/>
  <c r="BG40" i="4" s="1"/>
  <c r="AU49" i="4"/>
  <c r="AS49" i="4"/>
  <c r="AQ49" i="4"/>
  <c r="AQ40" i="4" s="1"/>
  <c r="AM49" i="4"/>
  <c r="AC49" i="4"/>
  <c r="AA49" i="4"/>
  <c r="AA40" i="4" s="1"/>
  <c r="AA34" i="4" s="1"/>
  <c r="Y49" i="4"/>
  <c r="Y40" i="4" s="1"/>
  <c r="X49" i="4"/>
  <c r="W49" i="4"/>
  <c r="U49" i="4"/>
  <c r="T49" i="4"/>
  <c r="T40" i="4" s="1"/>
  <c r="S49" i="4"/>
  <c r="L49" i="4"/>
  <c r="K49" i="4"/>
  <c r="G49" i="4"/>
  <c r="G40" i="4" s="1"/>
  <c r="C49" i="4"/>
  <c r="C40" i="4" s="1"/>
  <c r="C34" i="4" s="1"/>
  <c r="BU48" i="4"/>
  <c r="BY48" i="4" s="1"/>
  <c r="BT48" i="4"/>
  <c r="BS48" i="4"/>
  <c r="BW48" i="4" s="1"/>
  <c r="BR48" i="4"/>
  <c r="BN48" i="4"/>
  <c r="BJ48" i="4"/>
  <c r="BA48" i="4"/>
  <c r="AZ48" i="4"/>
  <c r="BB48" i="4" s="1"/>
  <c r="AY48" i="4"/>
  <c r="AX48" i="4"/>
  <c r="AT48" i="4"/>
  <c r="AP48" i="4"/>
  <c r="AG48" i="4"/>
  <c r="AK48" i="4" s="1"/>
  <c r="AF48" i="4"/>
  <c r="AE48" i="4"/>
  <c r="AD48" i="4"/>
  <c r="Z48" i="4"/>
  <c r="V48" i="4"/>
  <c r="R48" i="4"/>
  <c r="Q48" i="4"/>
  <c r="P48" i="4"/>
  <c r="CO48" i="4" s="1"/>
  <c r="O48" i="4"/>
  <c r="N48" i="4"/>
  <c r="J48" i="4"/>
  <c r="F48" i="4"/>
  <c r="BY47" i="4"/>
  <c r="BU47" i="4"/>
  <c r="BT47" i="4"/>
  <c r="BS47" i="4"/>
  <c r="BW47" i="4" s="1"/>
  <c r="BR47" i="4"/>
  <c r="BN47" i="4"/>
  <c r="BJ47" i="4"/>
  <c r="BA47" i="4"/>
  <c r="AZ47" i="4"/>
  <c r="BB47" i="4" s="1"/>
  <c r="AY47" i="4"/>
  <c r="AX47" i="4"/>
  <c r="AT47" i="4"/>
  <c r="AP47" i="4"/>
  <c r="AG47" i="4"/>
  <c r="AF47" i="4"/>
  <c r="AJ47" i="4" s="1"/>
  <c r="AE47" i="4"/>
  <c r="AD47" i="4"/>
  <c r="Z47" i="4"/>
  <c r="V47" i="4"/>
  <c r="Q47" i="4"/>
  <c r="P47" i="4"/>
  <c r="O47" i="4"/>
  <c r="N47" i="4"/>
  <c r="J47" i="4"/>
  <c r="F47" i="4"/>
  <c r="CL46" i="4"/>
  <c r="CJ46" i="4"/>
  <c r="BU46" i="4"/>
  <c r="BS46" i="4"/>
  <c r="BP46" i="4"/>
  <c r="BN46" i="4"/>
  <c r="BJ46" i="4"/>
  <c r="AY46" i="4"/>
  <c r="AW46" i="4"/>
  <c r="BA46" i="4" s="1"/>
  <c r="BY46" i="4" s="1"/>
  <c r="AV46" i="4"/>
  <c r="AZ46" i="4" s="1"/>
  <c r="BB46" i="4" s="1"/>
  <c r="AT46" i="4"/>
  <c r="AR46" i="4"/>
  <c r="AP46" i="4"/>
  <c r="AO46" i="4"/>
  <c r="AG46" i="4"/>
  <c r="AF46" i="4"/>
  <c r="AE46" i="4"/>
  <c r="AD46" i="4"/>
  <c r="Z46" i="4"/>
  <c r="V46" i="4"/>
  <c r="O46" i="4"/>
  <c r="CN46" i="4" s="1"/>
  <c r="N46" i="4"/>
  <c r="M46" i="4"/>
  <c r="Q46" i="4" s="1"/>
  <c r="L46" i="4"/>
  <c r="J46" i="4"/>
  <c r="I46" i="4"/>
  <c r="H46" i="4"/>
  <c r="F46" i="4"/>
  <c r="CL45" i="4"/>
  <c r="CK45" i="4"/>
  <c r="CJ45" i="4"/>
  <c r="BU45" i="4"/>
  <c r="BT45" i="4"/>
  <c r="BX45" i="4" s="1"/>
  <c r="BS45" i="4"/>
  <c r="BW45" i="4" s="1"/>
  <c r="BR45" i="4"/>
  <c r="BN45" i="4"/>
  <c r="BJ45" i="4"/>
  <c r="BA45" i="4"/>
  <c r="AZ45" i="4"/>
  <c r="AY45" i="4"/>
  <c r="AX45" i="4"/>
  <c r="AT45" i="4"/>
  <c r="AP45" i="4"/>
  <c r="AG45" i="4"/>
  <c r="AF45" i="4"/>
  <c r="AE45" i="4"/>
  <c r="AD45" i="4"/>
  <c r="Z45" i="4"/>
  <c r="V45" i="4"/>
  <c r="Q45" i="4"/>
  <c r="BE45" i="4" s="1"/>
  <c r="P45" i="4"/>
  <c r="O45" i="4"/>
  <c r="N45" i="4"/>
  <c r="J45" i="4"/>
  <c r="F45" i="4"/>
  <c r="CJ44" i="4"/>
  <c r="BU44" i="4"/>
  <c r="BT44" i="4"/>
  <c r="BX44" i="4" s="1"/>
  <c r="BS44" i="4"/>
  <c r="BR44" i="4"/>
  <c r="BN44" i="4"/>
  <c r="BJ44" i="4"/>
  <c r="BA44" i="4"/>
  <c r="AZ44" i="4"/>
  <c r="BD44" i="4" s="1"/>
  <c r="AY44" i="4"/>
  <c r="BB44" i="4" s="1"/>
  <c r="AX44" i="4"/>
  <c r="AT44" i="4"/>
  <c r="AP44" i="4"/>
  <c r="AG44" i="4"/>
  <c r="AF44" i="4"/>
  <c r="AE44" i="4"/>
  <c r="AH44" i="4" s="1"/>
  <c r="AD44" i="4"/>
  <c r="Z44" i="4"/>
  <c r="V44" i="4"/>
  <c r="R44" i="4"/>
  <c r="CQ44" i="4" s="1"/>
  <c r="Q44" i="4"/>
  <c r="P44" i="4"/>
  <c r="CO44" i="4" s="1"/>
  <c r="O44" i="4"/>
  <c r="N44" i="4"/>
  <c r="J44" i="4"/>
  <c r="F44" i="4"/>
  <c r="CJ43" i="4"/>
  <c r="BV43" i="4"/>
  <c r="BU43" i="4"/>
  <c r="BT43" i="4"/>
  <c r="BS43" i="4"/>
  <c r="BW43" i="4" s="1"/>
  <c r="BR43" i="4"/>
  <c r="BN43" i="4"/>
  <c r="BJ43" i="4"/>
  <c r="BA43" i="4"/>
  <c r="AZ43" i="4"/>
  <c r="BB43" i="4" s="1"/>
  <c r="AY43" i="4"/>
  <c r="AX43" i="4"/>
  <c r="AT43" i="4"/>
  <c r="AP43" i="4"/>
  <c r="AG43" i="4"/>
  <c r="AF43" i="4"/>
  <c r="AE43" i="4"/>
  <c r="AI43" i="4" s="1"/>
  <c r="BC43" i="4" s="1"/>
  <c r="AD43" i="4"/>
  <c r="Z43" i="4"/>
  <c r="V43" i="4"/>
  <c r="Q43" i="4"/>
  <c r="P43" i="4"/>
  <c r="O43" i="4"/>
  <c r="N43" i="4"/>
  <c r="J43" i="4"/>
  <c r="F43" i="4"/>
  <c r="CL42" i="4"/>
  <c r="CK42" i="4"/>
  <c r="CJ42" i="4"/>
  <c r="BU42" i="4"/>
  <c r="BY42" i="4" s="1"/>
  <c r="BT42" i="4"/>
  <c r="BX42" i="4" s="1"/>
  <c r="BS42" i="4"/>
  <c r="BR42" i="4"/>
  <c r="BN42" i="4"/>
  <c r="BJ42" i="4"/>
  <c r="BA42" i="4"/>
  <c r="AZ42" i="4"/>
  <c r="AY42" i="4"/>
  <c r="AX42" i="4"/>
  <c r="AT42" i="4"/>
  <c r="AP42" i="4"/>
  <c r="AG42" i="4"/>
  <c r="AF42" i="4"/>
  <c r="AE42" i="4"/>
  <c r="AD42" i="4"/>
  <c r="Z42" i="4"/>
  <c r="V42" i="4"/>
  <c r="O42" i="4"/>
  <c r="N42" i="4"/>
  <c r="M42" i="4"/>
  <c r="L42" i="4"/>
  <c r="J42" i="4"/>
  <c r="I42" i="4"/>
  <c r="F42" i="4"/>
  <c r="CL41" i="4"/>
  <c r="CP41" i="4" s="1"/>
  <c r="CK41" i="4"/>
  <c r="CJ41" i="4"/>
  <c r="BU41" i="4"/>
  <c r="BY41" i="4" s="1"/>
  <c r="BT41" i="4"/>
  <c r="BS41" i="4"/>
  <c r="BR41" i="4"/>
  <c r="BN41" i="4"/>
  <c r="BJ41" i="4"/>
  <c r="BA41" i="4"/>
  <c r="AZ41" i="4"/>
  <c r="AY41" i="4"/>
  <c r="AX41" i="4"/>
  <c r="AT41" i="4"/>
  <c r="AP41" i="4"/>
  <c r="AG41" i="4"/>
  <c r="AF41" i="4"/>
  <c r="AE41" i="4"/>
  <c r="AD41" i="4"/>
  <c r="Z41" i="4"/>
  <c r="V41" i="4"/>
  <c r="Q41" i="4"/>
  <c r="BE41" i="4" s="1"/>
  <c r="P41" i="4"/>
  <c r="R41" i="4" s="1"/>
  <c r="O41" i="4"/>
  <c r="N41" i="4"/>
  <c r="J41" i="4"/>
  <c r="F41" i="4"/>
  <c r="AS40" i="4"/>
  <c r="X40" i="4"/>
  <c r="CL39" i="4"/>
  <c r="CP39" i="4" s="1"/>
  <c r="CK39" i="4"/>
  <c r="CJ39" i="4"/>
  <c r="BU39" i="4"/>
  <c r="BY39" i="4" s="1"/>
  <c r="CC39" i="4" s="1"/>
  <c r="BT39" i="4"/>
  <c r="BX39" i="4" s="1"/>
  <c r="CB39" i="4" s="1"/>
  <c r="BS39" i="4"/>
  <c r="BR39" i="4"/>
  <c r="BN39" i="4"/>
  <c r="BJ39" i="4"/>
  <c r="CM39" i="4" s="1"/>
  <c r="BD39" i="4"/>
  <c r="AY39" i="4"/>
  <c r="AX39" i="4"/>
  <c r="AT39" i="4"/>
  <c r="AP39" i="4"/>
  <c r="AH39" i="4"/>
  <c r="AE39" i="4"/>
  <c r="AD39" i="4"/>
  <c r="Z39" i="4"/>
  <c r="V39" i="4"/>
  <c r="Q39" i="4"/>
  <c r="BE39" i="4" s="1"/>
  <c r="P39" i="4"/>
  <c r="O39" i="4"/>
  <c r="CN39" i="4" s="1"/>
  <c r="N39" i="4"/>
  <c r="K39" i="4"/>
  <c r="J39" i="4"/>
  <c r="F39" i="4"/>
  <c r="CJ38" i="4"/>
  <c r="BS38" i="4"/>
  <c r="BQ38" i="4"/>
  <c r="BP38" i="4"/>
  <c r="BR38" i="4" s="1"/>
  <c r="BM38" i="4"/>
  <c r="BL38" i="4"/>
  <c r="BN38" i="4" s="1"/>
  <c r="BJ38" i="4"/>
  <c r="BI38" i="4"/>
  <c r="BH38" i="4"/>
  <c r="AY38" i="4"/>
  <c r="AW38" i="4"/>
  <c r="AV38" i="4"/>
  <c r="AX38" i="4" s="1"/>
  <c r="AS38" i="4"/>
  <c r="BA38" i="4" s="1"/>
  <c r="AR38" i="4"/>
  <c r="AO38" i="4"/>
  <c r="AN38" i="4"/>
  <c r="AP38" i="4" s="1"/>
  <c r="AE38" i="4"/>
  <c r="AC38" i="4"/>
  <c r="AB38" i="4"/>
  <c r="AD38" i="4" s="1"/>
  <c r="Y38" i="4"/>
  <c r="X38" i="4"/>
  <c r="Z38" i="4" s="1"/>
  <c r="U38" i="4"/>
  <c r="T38" i="4"/>
  <c r="O38" i="4"/>
  <c r="M38" i="4"/>
  <c r="L38" i="4"/>
  <c r="P38" i="4" s="1"/>
  <c r="J38" i="4"/>
  <c r="I38" i="4"/>
  <c r="H38" i="4"/>
  <c r="E38" i="4"/>
  <c r="D38" i="4"/>
  <c r="F38" i="4" s="1"/>
  <c r="CK37" i="4"/>
  <c r="CJ37" i="4"/>
  <c r="BX37" i="4"/>
  <c r="BT37" i="4"/>
  <c r="BS37" i="4"/>
  <c r="BR37" i="4"/>
  <c r="BQ37" i="4"/>
  <c r="CL37" i="4" s="1"/>
  <c r="BN37" i="4"/>
  <c r="BJ37" i="4"/>
  <c r="CM37" i="4" s="1"/>
  <c r="BA37" i="4"/>
  <c r="AZ37" i="4"/>
  <c r="AY37" i="4"/>
  <c r="AX37" i="4"/>
  <c r="AT37" i="4"/>
  <c r="AP37" i="4"/>
  <c r="AI37" i="4"/>
  <c r="BC37" i="4" s="1"/>
  <c r="AG37" i="4"/>
  <c r="AK37" i="4" s="1"/>
  <c r="AF37" i="4"/>
  <c r="AE37" i="4"/>
  <c r="AD37" i="4"/>
  <c r="Z37" i="4"/>
  <c r="V37" i="4"/>
  <c r="P37" i="4"/>
  <c r="CO37" i="4" s="1"/>
  <c r="O37" i="4"/>
  <c r="N37" i="4"/>
  <c r="M37" i="4"/>
  <c r="Q37" i="4" s="1"/>
  <c r="J37" i="4"/>
  <c r="F37" i="4"/>
  <c r="CJ36" i="4"/>
  <c r="BS36" i="4"/>
  <c r="BR36" i="4"/>
  <c r="BQ36" i="4"/>
  <c r="BP36" i="4"/>
  <c r="BL36" i="4"/>
  <c r="BN36" i="4" s="1"/>
  <c r="BI36" i="4"/>
  <c r="BH36" i="4"/>
  <c r="AY36" i="4"/>
  <c r="AW36" i="4"/>
  <c r="AV36" i="4"/>
  <c r="AX36" i="4" s="1"/>
  <c r="AS36" i="4"/>
  <c r="AR36" i="4"/>
  <c r="AT36" i="4" s="1"/>
  <c r="AO36" i="4"/>
  <c r="AN36" i="4"/>
  <c r="AE36" i="4"/>
  <c r="AC36" i="4"/>
  <c r="AB36" i="4"/>
  <c r="AD36" i="4" s="1"/>
  <c r="Y36" i="4"/>
  <c r="X36" i="4"/>
  <c r="Z36" i="4" s="1"/>
  <c r="V36" i="4"/>
  <c r="U36" i="4"/>
  <c r="T36" i="4"/>
  <c r="O36" i="4"/>
  <c r="M36" i="4"/>
  <c r="L36" i="4"/>
  <c r="I36" i="4"/>
  <c r="Q36" i="4" s="1"/>
  <c r="H36" i="4"/>
  <c r="J36" i="4" s="1"/>
  <c r="E36" i="4"/>
  <c r="D36" i="4"/>
  <c r="F36" i="4" s="1"/>
  <c r="CJ35" i="4"/>
  <c r="BU35" i="4"/>
  <c r="BS35" i="4"/>
  <c r="BR35" i="4"/>
  <c r="BQ35" i="4"/>
  <c r="BP35" i="4"/>
  <c r="BM35" i="4"/>
  <c r="BL35" i="4"/>
  <c r="BH35" i="4"/>
  <c r="BJ35" i="4" s="1"/>
  <c r="AY35" i="4"/>
  <c r="AX35" i="4"/>
  <c r="AW35" i="4"/>
  <c r="AV35" i="4"/>
  <c r="AS35" i="4"/>
  <c r="AR35" i="4"/>
  <c r="AP35" i="4"/>
  <c r="AO35" i="4"/>
  <c r="AN35" i="4"/>
  <c r="AG35" i="4"/>
  <c r="AK35" i="4" s="1"/>
  <c r="AE35" i="4"/>
  <c r="AB35" i="4"/>
  <c r="AD35" i="4" s="1"/>
  <c r="X35" i="4"/>
  <c r="V35" i="4"/>
  <c r="T35" i="4"/>
  <c r="Q35" i="4"/>
  <c r="O35" i="4"/>
  <c r="CN35" i="4" s="1"/>
  <c r="M35" i="4"/>
  <c r="L35" i="4"/>
  <c r="N35" i="4" s="1"/>
  <c r="H35" i="4"/>
  <c r="J35" i="4" s="1"/>
  <c r="D35" i="4"/>
  <c r="F35" i="4" s="1"/>
  <c r="BG34" i="4"/>
  <c r="CL32" i="4"/>
  <c r="CK32" i="4"/>
  <c r="CJ32" i="4"/>
  <c r="BU32" i="4"/>
  <c r="BT32" i="4"/>
  <c r="BX32" i="4" s="1"/>
  <c r="BS32" i="4"/>
  <c r="BW32" i="4" s="1"/>
  <c r="BR32" i="4"/>
  <c r="BN32" i="4"/>
  <c r="BJ32" i="4"/>
  <c r="BA32" i="4"/>
  <c r="AZ32" i="4"/>
  <c r="BB32" i="4" s="1"/>
  <c r="AY32" i="4"/>
  <c r="AX32" i="4"/>
  <c r="AT32" i="4"/>
  <c r="AG32" i="4"/>
  <c r="AK32" i="4" s="1"/>
  <c r="AF32" i="4"/>
  <c r="AE32" i="4"/>
  <c r="AH32" i="4" s="1"/>
  <c r="AD32" i="4"/>
  <c r="Z32" i="4"/>
  <c r="V32" i="4"/>
  <c r="R32" i="4"/>
  <c r="Q32" i="4"/>
  <c r="P32" i="4"/>
  <c r="O32" i="4"/>
  <c r="J32" i="4"/>
  <c r="F32" i="4"/>
  <c r="CL31" i="4"/>
  <c r="CK31" i="4"/>
  <c r="CJ31" i="4"/>
  <c r="BU31" i="4"/>
  <c r="BT31" i="4"/>
  <c r="BS31" i="4"/>
  <c r="BR31" i="4"/>
  <c r="BN31" i="4"/>
  <c r="BJ31" i="4"/>
  <c r="BA31" i="4"/>
  <c r="AZ31" i="4"/>
  <c r="AY31" i="4"/>
  <c r="AT31" i="4"/>
  <c r="AG31" i="4"/>
  <c r="AF31" i="4"/>
  <c r="AE31" i="4"/>
  <c r="AD31" i="4"/>
  <c r="Z31" i="4"/>
  <c r="V31" i="4"/>
  <c r="O31" i="4"/>
  <c r="I31" i="4"/>
  <c r="H31" i="4"/>
  <c r="J31" i="4" s="1"/>
  <c r="F31" i="4"/>
  <c r="CL30" i="4"/>
  <c r="CL28" i="4" s="1"/>
  <c r="CK30" i="4"/>
  <c r="CJ30" i="4"/>
  <c r="BU30" i="4"/>
  <c r="BY30" i="4" s="1"/>
  <c r="BT30" i="4"/>
  <c r="BS30" i="4"/>
  <c r="BV30" i="4" s="1"/>
  <c r="BR30" i="4"/>
  <c r="BN30" i="4"/>
  <c r="BJ30" i="4"/>
  <c r="BA30" i="4"/>
  <c r="AZ30" i="4"/>
  <c r="BB30" i="4" s="1"/>
  <c r="AY30" i="4"/>
  <c r="AX30" i="4"/>
  <c r="AT30" i="4"/>
  <c r="AP30" i="4"/>
  <c r="AG30" i="4"/>
  <c r="AK30" i="4" s="1"/>
  <c r="BE30" i="4" s="1"/>
  <c r="AF30" i="4"/>
  <c r="AE30" i="4"/>
  <c r="AD30" i="4"/>
  <c r="Z30" i="4"/>
  <c r="V30" i="4"/>
  <c r="Q30" i="4"/>
  <c r="P30" i="4"/>
  <c r="O30" i="4"/>
  <c r="CN30" i="4" s="1"/>
  <c r="J30" i="4"/>
  <c r="F30" i="4"/>
  <c r="CL29" i="4"/>
  <c r="CK29" i="4"/>
  <c r="CJ29" i="4"/>
  <c r="BV29" i="4"/>
  <c r="BU29" i="4"/>
  <c r="BY29" i="4" s="1"/>
  <c r="BT29" i="4"/>
  <c r="BS29" i="4"/>
  <c r="BR29" i="4"/>
  <c r="CM29" i="4" s="1"/>
  <c r="BN29" i="4"/>
  <c r="BJ29" i="4"/>
  <c r="BA29" i="4"/>
  <c r="AZ29" i="4"/>
  <c r="BB29" i="4" s="1"/>
  <c r="AY29" i="4"/>
  <c r="AX29" i="4"/>
  <c r="AT29" i="4"/>
  <c r="AP29" i="4"/>
  <c r="AG29" i="4"/>
  <c r="AF29" i="4"/>
  <c r="AE29" i="4"/>
  <c r="AI29" i="4" s="1"/>
  <c r="BC29" i="4" s="1"/>
  <c r="AD29" i="4"/>
  <c r="Z29" i="4"/>
  <c r="V29" i="4"/>
  <c r="Q29" i="4"/>
  <c r="P29" i="4"/>
  <c r="O29" i="4"/>
  <c r="J29" i="4"/>
  <c r="F29" i="4"/>
  <c r="BQ28" i="4"/>
  <c r="BP28" i="4"/>
  <c r="BO28" i="4"/>
  <c r="BM28" i="4"/>
  <c r="BL28" i="4"/>
  <c r="BK28" i="4"/>
  <c r="BG28" i="4"/>
  <c r="AU28" i="4"/>
  <c r="AX28" i="4" s="1"/>
  <c r="AQ28" i="4"/>
  <c r="AZ28" i="4"/>
  <c r="AM28" i="4"/>
  <c r="AA28" i="4"/>
  <c r="AG28" i="4"/>
  <c r="W28" i="4"/>
  <c r="Z28" i="4" s="1"/>
  <c r="S28" i="4"/>
  <c r="L28" i="4"/>
  <c r="K28" i="4"/>
  <c r="G28" i="4"/>
  <c r="C28" i="4"/>
  <c r="CL27" i="4"/>
  <c r="CK27" i="4"/>
  <c r="CJ27" i="4"/>
  <c r="BU27" i="4"/>
  <c r="BY27" i="4" s="1"/>
  <c r="BT27" i="4"/>
  <c r="BS27" i="4"/>
  <c r="BR27" i="4"/>
  <c r="BN27" i="4"/>
  <c r="BJ27" i="4"/>
  <c r="BA27" i="4"/>
  <c r="AZ27" i="4"/>
  <c r="AY27" i="4"/>
  <c r="AX27" i="4"/>
  <c r="AT27" i="4"/>
  <c r="AP27" i="4"/>
  <c r="AG27" i="4"/>
  <c r="AF27" i="4"/>
  <c r="AJ27" i="4" s="1"/>
  <c r="AE27" i="4"/>
  <c r="AD27" i="4"/>
  <c r="Z27" i="4"/>
  <c r="V27" i="4"/>
  <c r="Q27" i="4"/>
  <c r="P27" i="4"/>
  <c r="R27" i="4" s="1"/>
  <c r="O27" i="4"/>
  <c r="N27" i="4"/>
  <c r="J27" i="4"/>
  <c r="F27" i="4"/>
  <c r="CL26" i="4"/>
  <c r="CK26" i="4"/>
  <c r="CJ26" i="4"/>
  <c r="CJ24" i="4" s="1"/>
  <c r="BU26" i="4"/>
  <c r="BY26" i="4" s="1"/>
  <c r="BT26" i="4"/>
  <c r="BS26" i="4"/>
  <c r="BR26" i="4"/>
  <c r="BN26" i="4"/>
  <c r="BJ26" i="4"/>
  <c r="BA26" i="4"/>
  <c r="AZ26" i="4"/>
  <c r="AY26" i="4"/>
  <c r="AY24" i="4" s="1"/>
  <c r="AX26" i="4"/>
  <c r="AT26" i="4"/>
  <c r="AP26" i="4"/>
  <c r="AG26" i="4"/>
  <c r="AF26" i="4"/>
  <c r="AE26" i="4"/>
  <c r="AH26" i="4" s="1"/>
  <c r="AD26" i="4"/>
  <c r="Z26" i="4"/>
  <c r="V26" i="4"/>
  <c r="Q26" i="4"/>
  <c r="P26" i="4"/>
  <c r="O26" i="4"/>
  <c r="N26" i="4"/>
  <c r="J26" i="4"/>
  <c r="F26" i="4"/>
  <c r="CJ25" i="4"/>
  <c r="BS25" i="4"/>
  <c r="BQ25" i="4"/>
  <c r="BQ24" i="4" s="1"/>
  <c r="BP25" i="4"/>
  <c r="BR25" i="4" s="1"/>
  <c r="BM25" i="4"/>
  <c r="BL25" i="4"/>
  <c r="BJ25" i="4"/>
  <c r="BI25" i="4"/>
  <c r="BH25" i="4"/>
  <c r="BH24" i="4" s="1"/>
  <c r="AY25" i="4"/>
  <c r="AX25" i="4"/>
  <c r="AW25" i="4"/>
  <c r="AS25" i="4"/>
  <c r="AS24" i="4" s="1"/>
  <c r="AR25" i="4"/>
  <c r="AP25" i="4"/>
  <c r="AO25" i="4"/>
  <c r="AN25" i="4"/>
  <c r="AF25" i="4"/>
  <c r="AE25" i="4"/>
  <c r="AD25" i="4"/>
  <c r="AC25" i="4"/>
  <c r="Z25" i="4"/>
  <c r="Y25" i="4"/>
  <c r="Y24" i="4" s="1"/>
  <c r="V25" i="4"/>
  <c r="P25" i="4"/>
  <c r="O25" i="4"/>
  <c r="N25" i="4"/>
  <c r="J25" i="4"/>
  <c r="I25" i="4"/>
  <c r="Q25" i="4" s="1"/>
  <c r="F25" i="4"/>
  <c r="BO24" i="4"/>
  <c r="BM24" i="4"/>
  <c r="BK24" i="4"/>
  <c r="BI24" i="4"/>
  <c r="BG24" i="4"/>
  <c r="BS24" i="4" s="1"/>
  <c r="AV24" i="4"/>
  <c r="AU24" i="4"/>
  <c r="AX24" i="4" s="1"/>
  <c r="AQ24" i="4"/>
  <c r="AO24" i="4"/>
  <c r="AN24" i="4"/>
  <c r="AM24" i="4"/>
  <c r="AF24" i="4"/>
  <c r="AB24" i="4"/>
  <c r="AA24" i="4"/>
  <c r="AD24" i="4" s="1"/>
  <c r="X24" i="4"/>
  <c r="X10" i="4" s="1"/>
  <c r="W24" i="4"/>
  <c r="U24" i="4"/>
  <c r="T24" i="4"/>
  <c r="S24" i="4"/>
  <c r="V24" i="4" s="1"/>
  <c r="M24" i="4"/>
  <c r="L24" i="4"/>
  <c r="K24" i="4"/>
  <c r="I24" i="4"/>
  <c r="H24" i="4"/>
  <c r="G24" i="4"/>
  <c r="J24" i="4" s="1"/>
  <c r="E24" i="4"/>
  <c r="D24" i="4"/>
  <c r="C24" i="4"/>
  <c r="CK23" i="4"/>
  <c r="CJ23" i="4"/>
  <c r="BT23" i="4"/>
  <c r="BS23" i="4"/>
  <c r="BR23" i="4"/>
  <c r="BQ23" i="4"/>
  <c r="CL23" i="4" s="1"/>
  <c r="BN23" i="4"/>
  <c r="BJ23" i="4"/>
  <c r="AY23" i="4"/>
  <c r="AX23" i="4"/>
  <c r="AW23" i="4"/>
  <c r="AV23" i="4"/>
  <c r="AS23" i="4"/>
  <c r="AP23" i="4"/>
  <c r="AE23" i="4"/>
  <c r="AD23" i="4"/>
  <c r="Z23" i="4"/>
  <c r="Y23" i="4"/>
  <c r="AG23" i="4" s="1"/>
  <c r="X23" i="4"/>
  <c r="AF23" i="4" s="1"/>
  <c r="V23" i="4"/>
  <c r="O23" i="4"/>
  <c r="CN23" i="4" s="1"/>
  <c r="N23" i="4"/>
  <c r="M23" i="4"/>
  <c r="Q23" i="4" s="1"/>
  <c r="L23" i="4"/>
  <c r="P23" i="4" s="1"/>
  <c r="J23" i="4"/>
  <c r="I23" i="4"/>
  <c r="F23" i="4"/>
  <c r="E23" i="4"/>
  <c r="CL22" i="4"/>
  <c r="CK22" i="4"/>
  <c r="CJ22" i="4"/>
  <c r="BU22" i="4"/>
  <c r="BT22" i="4"/>
  <c r="BV22" i="4" s="1"/>
  <c r="BS22" i="4"/>
  <c r="BW22" i="4" s="1"/>
  <c r="BR22" i="4"/>
  <c r="BN22" i="4"/>
  <c r="BJ22" i="4"/>
  <c r="AZ22" i="4"/>
  <c r="BB22" i="4" s="1"/>
  <c r="AY22" i="4"/>
  <c r="AX22" i="4"/>
  <c r="AW22" i="4"/>
  <c r="BA22" i="4" s="1"/>
  <c r="AT22" i="4"/>
  <c r="AS22" i="4"/>
  <c r="AP22" i="4"/>
  <c r="AG22" i="4"/>
  <c r="AF22" i="4"/>
  <c r="AE22" i="4"/>
  <c r="AI22" i="4" s="1"/>
  <c r="BC22" i="4" s="1"/>
  <c r="AD22" i="4"/>
  <c r="Z22" i="4"/>
  <c r="V22" i="4"/>
  <c r="Q22" i="4"/>
  <c r="O22" i="4"/>
  <c r="N22" i="4"/>
  <c r="M22" i="4"/>
  <c r="J22" i="4"/>
  <c r="I22" i="4"/>
  <c r="D22" i="4"/>
  <c r="BU21" i="4"/>
  <c r="BA21" i="4"/>
  <c r="BY21" i="4" s="1"/>
  <c r="AO21" i="4"/>
  <c r="AG21" i="4"/>
  <c r="AE21" i="4"/>
  <c r="Q21" i="4"/>
  <c r="O21" i="4"/>
  <c r="CJ20" i="4"/>
  <c r="BS20" i="4"/>
  <c r="BR20" i="4"/>
  <c r="BQ20" i="4"/>
  <c r="BP20" i="4"/>
  <c r="BM20" i="4"/>
  <c r="BL20" i="4"/>
  <c r="BN20" i="4" s="1"/>
  <c r="BI20" i="4"/>
  <c r="BH20" i="4"/>
  <c r="AY20" i="4"/>
  <c r="AX20" i="4"/>
  <c r="AW20" i="4"/>
  <c r="AV20" i="4"/>
  <c r="AT20" i="4"/>
  <c r="AP20" i="4"/>
  <c r="AO20" i="4"/>
  <c r="BA20" i="4" s="1"/>
  <c r="AN20" i="4"/>
  <c r="AZ20" i="4" s="1"/>
  <c r="BB20" i="4" s="1"/>
  <c r="AE20" i="4"/>
  <c r="AD20" i="4"/>
  <c r="AC20" i="4"/>
  <c r="Z20" i="4"/>
  <c r="U20" i="4"/>
  <c r="AG20" i="4" s="1"/>
  <c r="T20" i="4"/>
  <c r="AF20" i="4" s="1"/>
  <c r="AH20" i="4" s="1"/>
  <c r="O20" i="4"/>
  <c r="N20" i="4"/>
  <c r="M20" i="4"/>
  <c r="I20" i="4"/>
  <c r="H20" i="4"/>
  <c r="P20" i="4" s="1"/>
  <c r="E20" i="4"/>
  <c r="D20" i="4"/>
  <c r="F20" i="4" s="1"/>
  <c r="CJ19" i="4"/>
  <c r="BS19" i="4"/>
  <c r="BQ19" i="4"/>
  <c r="BP19" i="4"/>
  <c r="BR19" i="4" s="1"/>
  <c r="BR11" i="4" s="1"/>
  <c r="BN19" i="4"/>
  <c r="BM19" i="4"/>
  <c r="BL19" i="4"/>
  <c r="BJ19" i="4"/>
  <c r="BI19" i="4"/>
  <c r="BH19" i="4"/>
  <c r="BT19" i="4" s="1"/>
  <c r="BV19" i="4" s="1"/>
  <c r="AY19" i="4"/>
  <c r="AW19" i="4"/>
  <c r="AV19" i="4"/>
  <c r="AV11" i="4" s="1"/>
  <c r="AV10" i="4" s="1"/>
  <c r="AS19" i="4"/>
  <c r="AR19" i="4"/>
  <c r="AP19" i="4"/>
  <c r="AO19" i="4"/>
  <c r="BA19" i="4" s="1"/>
  <c r="AN19" i="4"/>
  <c r="AE19" i="4"/>
  <c r="AD19" i="4"/>
  <c r="AC19" i="4"/>
  <c r="AB19" i="4"/>
  <c r="Y19" i="4"/>
  <c r="AG19" i="4" s="1"/>
  <c r="X19" i="4"/>
  <c r="X11" i="4" s="1"/>
  <c r="U19" i="4"/>
  <c r="T19" i="4"/>
  <c r="O19" i="4"/>
  <c r="N19" i="4"/>
  <c r="M19" i="4"/>
  <c r="Q19" i="4" s="1"/>
  <c r="L19" i="4"/>
  <c r="J19" i="4"/>
  <c r="I19" i="4"/>
  <c r="H19" i="4"/>
  <c r="E19" i="4"/>
  <c r="D19" i="4"/>
  <c r="D11" i="4" s="1"/>
  <c r="CJ18" i="4"/>
  <c r="BS18" i="4"/>
  <c r="BR18" i="4"/>
  <c r="BQ18" i="4"/>
  <c r="BM18" i="4"/>
  <c r="BM11" i="4" s="1"/>
  <c r="BM10" i="4" s="1"/>
  <c r="BL18" i="4"/>
  <c r="CK18" i="4" s="1"/>
  <c r="BJ18" i="4"/>
  <c r="BI18" i="4"/>
  <c r="BB18" i="4"/>
  <c r="AZ18" i="4"/>
  <c r="AY18" i="4"/>
  <c r="AX18" i="4"/>
  <c r="AW18" i="4"/>
  <c r="AW11" i="4" s="1"/>
  <c r="AT18" i="4"/>
  <c r="AP18" i="4"/>
  <c r="AP11" i="4" s="1"/>
  <c r="AO18" i="4"/>
  <c r="AI18" i="4"/>
  <c r="BC18" i="4" s="1"/>
  <c r="AF18" i="4"/>
  <c r="AE18" i="4"/>
  <c r="AD18" i="4"/>
  <c r="AC18" i="4"/>
  <c r="Z18" i="4"/>
  <c r="Y18" i="4"/>
  <c r="Y11" i="4" s="1"/>
  <c r="V18" i="4"/>
  <c r="U18" i="4"/>
  <c r="AG18" i="4" s="1"/>
  <c r="AG11" i="4" s="1"/>
  <c r="O18" i="4"/>
  <c r="N18" i="4"/>
  <c r="N11" i="4" s="1"/>
  <c r="M18" i="4"/>
  <c r="I18" i="4"/>
  <c r="I11" i="4" s="1"/>
  <c r="H18" i="4"/>
  <c r="F18" i="4"/>
  <c r="E18" i="4"/>
  <c r="CL17" i="4"/>
  <c r="CJ17" i="4"/>
  <c r="BU17" i="4"/>
  <c r="BT17" i="4"/>
  <c r="BX17" i="4" s="1"/>
  <c r="BS17" i="4"/>
  <c r="BW17" i="4" s="1"/>
  <c r="BP17" i="4"/>
  <c r="CK17" i="4" s="1"/>
  <c r="BN17" i="4"/>
  <c r="BJ17" i="4"/>
  <c r="BA17" i="4"/>
  <c r="AZ17" i="4"/>
  <c r="BB17" i="4" s="1"/>
  <c r="AY17" i="4"/>
  <c r="AX17" i="4"/>
  <c r="AT17" i="4"/>
  <c r="AP17" i="4"/>
  <c r="AG17" i="4"/>
  <c r="AF17" i="4"/>
  <c r="AH17" i="4" s="1"/>
  <c r="AE17" i="4"/>
  <c r="AD17" i="4"/>
  <c r="Z17" i="4"/>
  <c r="V17" i="4"/>
  <c r="Q17" i="4"/>
  <c r="AK17" i="4" s="1"/>
  <c r="P17" i="4"/>
  <c r="O17" i="4"/>
  <c r="N17" i="4"/>
  <c r="J17" i="4"/>
  <c r="F17" i="4"/>
  <c r="CL16" i="4"/>
  <c r="CJ16" i="4"/>
  <c r="BU16" i="4"/>
  <c r="BY16" i="4" s="1"/>
  <c r="BS16" i="4"/>
  <c r="BR16" i="4"/>
  <c r="BL16" i="4"/>
  <c r="CK16" i="4" s="1"/>
  <c r="BJ16" i="4"/>
  <c r="BB16" i="4"/>
  <c r="BA16" i="4"/>
  <c r="AZ16" i="4"/>
  <c r="AY16" i="4"/>
  <c r="AX16" i="4"/>
  <c r="AT16" i="4"/>
  <c r="AP16" i="4"/>
  <c r="AG16" i="4"/>
  <c r="AF16" i="4"/>
  <c r="AH16" i="4" s="1"/>
  <c r="AE16" i="4"/>
  <c r="AD16" i="4"/>
  <c r="Z16" i="4"/>
  <c r="V16" i="4"/>
  <c r="Q16" i="4"/>
  <c r="P16" i="4"/>
  <c r="O16" i="4"/>
  <c r="N16" i="4"/>
  <c r="J16" i="4"/>
  <c r="F16" i="4"/>
  <c r="CJ15" i="4"/>
  <c r="BS15" i="4"/>
  <c r="BR15" i="4"/>
  <c r="BM15" i="4"/>
  <c r="BM92" i="4" s="1"/>
  <c r="BL92" i="4" s="1"/>
  <c r="BN92" i="4" s="1"/>
  <c r="BL15" i="4"/>
  <c r="BJ15" i="4"/>
  <c r="BI15" i="4"/>
  <c r="AZ15" i="4"/>
  <c r="BB15" i="4" s="1"/>
  <c r="AY15" i="4"/>
  <c r="AX15" i="4"/>
  <c r="AW15" i="4"/>
  <c r="AW92" i="4" s="1"/>
  <c r="AV92" i="4" s="1"/>
  <c r="AX92" i="4" s="1"/>
  <c r="AT15" i="4"/>
  <c r="AS15" i="4"/>
  <c r="AS92" i="4" s="1"/>
  <c r="AP15" i="4"/>
  <c r="AG15" i="4"/>
  <c r="AF15" i="4"/>
  <c r="AH15" i="4" s="1"/>
  <c r="AE15" i="4"/>
  <c r="AD15" i="4"/>
  <c r="Z15" i="4"/>
  <c r="V15" i="4"/>
  <c r="Q15" i="4"/>
  <c r="P15" i="4"/>
  <c r="O15" i="4"/>
  <c r="AI15" i="4" s="1"/>
  <c r="BC15" i="4" s="1"/>
  <c r="N15" i="4"/>
  <c r="J15" i="4"/>
  <c r="F15" i="4"/>
  <c r="CN14" i="4"/>
  <c r="CJ14" i="4"/>
  <c r="BS14" i="4"/>
  <c r="BR14" i="4"/>
  <c r="BM14" i="4"/>
  <c r="BM93" i="4" s="1"/>
  <c r="BL93" i="4" s="1"/>
  <c r="BN93" i="4" s="1"/>
  <c r="BL14" i="4"/>
  <c r="BJ14" i="4"/>
  <c r="BI14" i="4"/>
  <c r="BB14" i="4"/>
  <c r="AZ14" i="4"/>
  <c r="AY14" i="4"/>
  <c r="AX14" i="4"/>
  <c r="AW14" i="4"/>
  <c r="AT14" i="4"/>
  <c r="AS14" i="4"/>
  <c r="AS93" i="4" s="1"/>
  <c r="AP14" i="4"/>
  <c r="AH14" i="4"/>
  <c r="AG14" i="4"/>
  <c r="AF14" i="4"/>
  <c r="AE14" i="4"/>
  <c r="AD14" i="4"/>
  <c r="Z14" i="4"/>
  <c r="V14" i="4"/>
  <c r="Q14" i="4"/>
  <c r="P14" i="4"/>
  <c r="R14" i="4" s="1"/>
  <c r="O14" i="4"/>
  <c r="N14" i="4"/>
  <c r="J14" i="4"/>
  <c r="F14" i="4"/>
  <c r="CL13" i="4"/>
  <c r="CK13" i="4"/>
  <c r="CJ13" i="4"/>
  <c r="BU13" i="4"/>
  <c r="BY13" i="4" s="1"/>
  <c r="BT13" i="4"/>
  <c r="BS13" i="4"/>
  <c r="BR13" i="4"/>
  <c r="BN13" i="4"/>
  <c r="BJ13" i="4"/>
  <c r="BA13" i="4"/>
  <c r="AZ13" i="4"/>
  <c r="AY13" i="4"/>
  <c r="AX13" i="4"/>
  <c r="AT13" i="4"/>
  <c r="AP13" i="4"/>
  <c r="AG13" i="4"/>
  <c r="AF13" i="4"/>
  <c r="AH13" i="4" s="1"/>
  <c r="AE13" i="4"/>
  <c r="AI13" i="4" s="1"/>
  <c r="AD13" i="4"/>
  <c r="Z13" i="4"/>
  <c r="V13" i="4"/>
  <c r="Q13" i="4"/>
  <c r="P13" i="4"/>
  <c r="AJ13" i="4" s="1"/>
  <c r="BD13" i="4" s="1"/>
  <c r="O13" i="4"/>
  <c r="N13" i="4"/>
  <c r="J13" i="4"/>
  <c r="F13" i="4"/>
  <c r="CJ12" i="4"/>
  <c r="BT12" i="4"/>
  <c r="BV12" i="4" s="1"/>
  <c r="BS12" i="4"/>
  <c r="BR12" i="4"/>
  <c r="BM12" i="4"/>
  <c r="BL12" i="4"/>
  <c r="CK12" i="4" s="1"/>
  <c r="BJ12" i="4"/>
  <c r="BI12" i="4"/>
  <c r="BB12" i="4"/>
  <c r="AZ12" i="4"/>
  <c r="AY12" i="4"/>
  <c r="AX12" i="4"/>
  <c r="AT12" i="4"/>
  <c r="AS12" i="4"/>
  <c r="AP12" i="4"/>
  <c r="AG12" i="4"/>
  <c r="AF12" i="4"/>
  <c r="AE12" i="4"/>
  <c r="AD12" i="4"/>
  <c r="Z12" i="4"/>
  <c r="V12" i="4"/>
  <c r="Q12" i="4"/>
  <c r="AK12" i="4" s="1"/>
  <c r="O12" i="4"/>
  <c r="N12" i="4"/>
  <c r="J12" i="4"/>
  <c r="D12" i="4"/>
  <c r="P12" i="4" s="1"/>
  <c r="BQ11" i="4"/>
  <c r="BO11" i="4"/>
  <c r="BK11" i="4"/>
  <c r="BI11" i="4"/>
  <c r="BG11" i="4"/>
  <c r="AU11" i="4"/>
  <c r="AS11" i="4"/>
  <c r="AQ11" i="4"/>
  <c r="AO11" i="4"/>
  <c r="AM11" i="4"/>
  <c r="AM10" i="4" s="1"/>
  <c r="AD11" i="4"/>
  <c r="AC11" i="4"/>
  <c r="AB11" i="4"/>
  <c r="AA11" i="4"/>
  <c r="W11" i="4"/>
  <c r="W10" i="4" s="1"/>
  <c r="S11" i="4"/>
  <c r="M11" i="4"/>
  <c r="L11" i="4"/>
  <c r="K11" i="4"/>
  <c r="G11" i="4"/>
  <c r="E11" i="4"/>
  <c r="C11" i="4"/>
  <c r="K10" i="4"/>
  <c r="E10" i="4"/>
  <c r="BU9" i="4"/>
  <c r="BT9" i="4"/>
  <c r="BV9" i="4" s="1"/>
  <c r="BS9" i="4"/>
  <c r="BW9" i="4" s="1"/>
  <c r="BR9" i="4"/>
  <c r="BN9" i="4"/>
  <c r="BJ9" i="4"/>
  <c r="BA9" i="4"/>
  <c r="AZ9" i="4"/>
  <c r="BB9" i="4" s="1"/>
  <c r="AY9" i="4"/>
  <c r="AX9" i="4"/>
  <c r="AT9" i="4"/>
  <c r="AP9" i="4"/>
  <c r="AG9" i="4"/>
  <c r="AK9" i="4" s="1"/>
  <c r="AF9" i="4"/>
  <c r="AE9" i="4"/>
  <c r="AI9" i="4" s="1"/>
  <c r="BC9" i="4" s="1"/>
  <c r="AD9" i="4"/>
  <c r="Z9" i="4"/>
  <c r="V9" i="4"/>
  <c r="BU8" i="4"/>
  <c r="BY8" i="4" s="1"/>
  <c r="BT8" i="4"/>
  <c r="BV8" i="4" s="1"/>
  <c r="BS8" i="4"/>
  <c r="BR8" i="4"/>
  <c r="BN8" i="4"/>
  <c r="BJ8" i="4"/>
  <c r="BA8" i="4"/>
  <c r="AZ8" i="4"/>
  <c r="BB8" i="4" s="1"/>
  <c r="AY8" i="4"/>
  <c r="AX8" i="4"/>
  <c r="AT8" i="4"/>
  <c r="AP8" i="4"/>
  <c r="AG8" i="4"/>
  <c r="AK8" i="4" s="1"/>
  <c r="BE8" i="4" s="1"/>
  <c r="AF8" i="4"/>
  <c r="AJ8" i="4" s="1"/>
  <c r="AE8" i="4"/>
  <c r="AI8" i="4" s="1"/>
  <c r="AD8" i="4"/>
  <c r="Z8" i="4"/>
  <c r="V8" i="4"/>
  <c r="R8" i="4"/>
  <c r="BY7" i="4"/>
  <c r="BE7" i="4"/>
  <c r="AG7" i="4"/>
  <c r="Q7" i="4"/>
  <c r="T2" i="4"/>
  <c r="C2" i="4"/>
  <c r="BP105" i="3"/>
  <c r="BT105" i="3" s="1"/>
  <c r="AN105" i="3"/>
  <c r="AZ105" i="3" s="1"/>
  <c r="BY105" i="3"/>
  <c r="BU105" i="3"/>
  <c r="BE105" i="3"/>
  <c r="AK105" i="3"/>
  <c r="AG105" i="3"/>
  <c r="AF105" i="3"/>
  <c r="AJ105" i="3" s="1"/>
  <c r="Q105" i="3"/>
  <c r="CC21" i="3"/>
  <c r="Q21" i="3"/>
  <c r="AG21" i="3"/>
  <c r="AK21" i="3"/>
  <c r="BA21" i="3"/>
  <c r="BY21" i="3"/>
  <c r="BU21" i="3"/>
  <c r="I37" i="3"/>
  <c r="CA23" i="3"/>
  <c r="CB23" i="3"/>
  <c r="CC27" i="3"/>
  <c r="AS37" i="3"/>
  <c r="Y37" i="3"/>
  <c r="CC31" i="3"/>
  <c r="BY27" i="3"/>
  <c r="BU27" i="3"/>
  <c r="BQ27" i="3"/>
  <c r="BM27" i="3"/>
  <c r="BI27" i="3"/>
  <c r="BE27" i="3"/>
  <c r="BA27" i="3"/>
  <c r="AW27" i="3"/>
  <c r="AS27" i="3"/>
  <c r="AO27" i="3"/>
  <c r="AK27" i="3"/>
  <c r="AG27" i="3"/>
  <c r="AC27" i="3"/>
  <c r="Y27" i="3"/>
  <c r="U27" i="3"/>
  <c r="Q27" i="3"/>
  <c r="M27" i="3"/>
  <c r="I27" i="3"/>
  <c r="D27" i="3"/>
  <c r="CC10" i="3"/>
  <c r="AO20" i="3"/>
  <c r="D21" i="3"/>
  <c r="E27" i="3"/>
  <c r="AS22" i="3"/>
  <c r="BQ22" i="3"/>
  <c r="AV22" i="3"/>
  <c r="AW22" i="3"/>
  <c r="AS10" i="4" l="1"/>
  <c r="AJ31" i="4"/>
  <c r="BD31" i="4" s="1"/>
  <c r="AJ25" i="4"/>
  <c r="BW37" i="4"/>
  <c r="CC46" i="4"/>
  <c r="CN47" i="4"/>
  <c r="R47" i="4"/>
  <c r="CL65" i="4"/>
  <c r="CL64" i="4" s="1"/>
  <c r="BQ64" i="4"/>
  <c r="BA66" i="4"/>
  <c r="AO64" i="4"/>
  <c r="P85" i="4"/>
  <c r="AJ85" i="4" s="1"/>
  <c r="J85" i="4"/>
  <c r="D100" i="4"/>
  <c r="F100" i="4" s="1"/>
  <c r="F102" i="4"/>
  <c r="BC8" i="4"/>
  <c r="BL11" i="4"/>
  <c r="BU12" i="4"/>
  <c r="BI91" i="4"/>
  <c r="BN12" i="4"/>
  <c r="BX12" i="4"/>
  <c r="AK13" i="4"/>
  <c r="BE13" i="4" s="1"/>
  <c r="CM13" i="4"/>
  <c r="BV13" i="4"/>
  <c r="AI14" i="4"/>
  <c r="BC14" i="4" s="1"/>
  <c r="CL14" i="4"/>
  <c r="BI93" i="4"/>
  <c r="BA15" i="4"/>
  <c r="BA10" i="4" s="1"/>
  <c r="CN15" i="4"/>
  <c r="CP16" i="4"/>
  <c r="BW16" i="4"/>
  <c r="CN17" i="4"/>
  <c r="BY17" i="4"/>
  <c r="Q18" i="4"/>
  <c r="BA18" i="4"/>
  <c r="BN18" i="4"/>
  <c r="BN11" i="4" s="1"/>
  <c r="BT18" i="4"/>
  <c r="BV18" i="4" s="1"/>
  <c r="P19" i="4"/>
  <c r="CK19" i="4"/>
  <c r="CN20" i="4"/>
  <c r="BW20" i="4"/>
  <c r="CM22" i="4"/>
  <c r="BA23" i="4"/>
  <c r="BO10" i="4"/>
  <c r="AG25" i="4"/>
  <c r="AH25" i="4"/>
  <c r="BW25" i="4"/>
  <c r="AH27" i="4"/>
  <c r="BW27" i="4"/>
  <c r="BR28" i="4"/>
  <c r="AH29" i="4"/>
  <c r="CP29" i="4"/>
  <c r="BW29" i="4"/>
  <c r="AI30" i="4"/>
  <c r="BC30" i="4" s="1"/>
  <c r="CM30" i="4"/>
  <c r="BW30" i="4"/>
  <c r="CA30" i="4" s="1"/>
  <c r="BW31" i="4"/>
  <c r="CK28" i="4"/>
  <c r="AJ32" i="4"/>
  <c r="P35" i="4"/>
  <c r="R35" i="4" s="1"/>
  <c r="AZ35" i="4"/>
  <c r="BB35" i="4" s="1"/>
  <c r="BW35" i="4"/>
  <c r="AI36" i="4"/>
  <c r="R37" i="4"/>
  <c r="BB37" i="4"/>
  <c r="BV37" i="4"/>
  <c r="BW38" i="4"/>
  <c r="BV39" i="4"/>
  <c r="CN48" i="4"/>
  <c r="AN49" i="4"/>
  <c r="AV49" i="4"/>
  <c r="AV40" i="4" s="1"/>
  <c r="AX40" i="4" s="1"/>
  <c r="BQ40" i="4"/>
  <c r="BT50" i="4"/>
  <c r="BP49" i="4"/>
  <c r="BR49" i="4" s="1"/>
  <c r="BR50" i="4"/>
  <c r="AF51" i="4"/>
  <c r="AH51" i="4" s="1"/>
  <c r="AC40" i="4"/>
  <c r="BB89" i="4"/>
  <c r="CN89" i="4"/>
  <c r="BW89" i="4"/>
  <c r="CN90" i="4"/>
  <c r="CA97" i="4"/>
  <c r="CJ100" i="4"/>
  <c r="BG95" i="4"/>
  <c r="AK107" i="4"/>
  <c r="BE107" i="4" s="1"/>
  <c r="AG100" i="4"/>
  <c r="CP100" i="4" s="1"/>
  <c r="O11" i="4"/>
  <c r="AJ12" i="4"/>
  <c r="BD12" i="4" s="1"/>
  <c r="CM12" i="4"/>
  <c r="R13" i="4"/>
  <c r="AR93" i="4"/>
  <c r="CL15" i="4"/>
  <c r="BI92" i="4"/>
  <c r="BW19" i="4"/>
  <c r="CP23" i="4"/>
  <c r="AI23" i="4"/>
  <c r="BC23" i="4" s="1"/>
  <c r="CP27" i="4"/>
  <c r="CM31" i="4"/>
  <c r="CO32" i="4"/>
  <c r="CM32" i="4"/>
  <c r="CQ32" i="4" s="1"/>
  <c r="BV32" i="4"/>
  <c r="AG36" i="4"/>
  <c r="AZ36" i="4"/>
  <c r="AJ37" i="4"/>
  <c r="BZ37" i="4"/>
  <c r="N38" i="4"/>
  <c r="CL38" i="4"/>
  <c r="AJ41" i="4"/>
  <c r="P42" i="4"/>
  <c r="AJ42" i="4" s="1"/>
  <c r="L40" i="4"/>
  <c r="L34" i="4" s="1"/>
  <c r="BW42" i="4"/>
  <c r="BX43" i="4"/>
  <c r="BE47" i="4"/>
  <c r="CP47" i="4"/>
  <c r="E40" i="4"/>
  <c r="BR52" i="4"/>
  <c r="I52" i="4"/>
  <c r="I40" i="4" s="1"/>
  <c r="Q40" i="4" s="1"/>
  <c r="Q54" i="4"/>
  <c r="Q52" i="4" s="1"/>
  <c r="AP76" i="4"/>
  <c r="BW78" i="4"/>
  <c r="BC92" i="4"/>
  <c r="O100" i="4"/>
  <c r="O95" i="4" s="1"/>
  <c r="CL12" i="4"/>
  <c r="BM91" i="4"/>
  <c r="BL91" i="4" s="1"/>
  <c r="BN91" i="4" s="1"/>
  <c r="BA14" i="4"/>
  <c r="AW93" i="4"/>
  <c r="AV93" i="4" s="1"/>
  <c r="AX93" i="4" s="1"/>
  <c r="CM19" i="4"/>
  <c r="Q31" i="4"/>
  <c r="I28" i="4"/>
  <c r="I10" i="4" s="1"/>
  <c r="AH48" i="4"/>
  <c r="CQ48" i="4" s="1"/>
  <c r="AI48" i="4"/>
  <c r="BC48" i="4" s="1"/>
  <c r="BW14" i="4"/>
  <c r="AY11" i="4"/>
  <c r="AY10" i="4" s="1"/>
  <c r="J20" i="4"/>
  <c r="P24" i="4"/>
  <c r="AK29" i="4"/>
  <c r="BE29" i="4" s="1"/>
  <c r="BX29" i="4"/>
  <c r="CB29" i="4" s="1"/>
  <c r="U11" i="4"/>
  <c r="U10" i="4" s="1"/>
  <c r="AN11" i="4"/>
  <c r="AN10" i="4" s="1"/>
  <c r="BI10" i="4"/>
  <c r="R12" i="4"/>
  <c r="CQ12" i="4" s="1"/>
  <c r="AH12" i="4"/>
  <c r="BA12" i="4"/>
  <c r="BE12" i="4" s="1"/>
  <c r="AS91" i="4"/>
  <c r="BW12" i="4"/>
  <c r="AJ14" i="4"/>
  <c r="BD14" i="4" s="1"/>
  <c r="BF14" i="4" s="1"/>
  <c r="CJ11" i="4"/>
  <c r="AR92" i="4"/>
  <c r="BA92" i="4"/>
  <c r="BW15" i="4"/>
  <c r="CA15" i="4" s="1"/>
  <c r="BN16" i="4"/>
  <c r="CM16" i="4" s="1"/>
  <c r="BE17" i="4"/>
  <c r="CL19" i="4"/>
  <c r="CP19" i="4" s="1"/>
  <c r="BA11" i="4"/>
  <c r="CN22" i="4"/>
  <c r="AH22" i="4"/>
  <c r="BX22" i="4"/>
  <c r="CM23" i="4"/>
  <c r="BV23" i="4"/>
  <c r="BA25" i="4"/>
  <c r="BA24" i="4" s="1"/>
  <c r="R26" i="4"/>
  <c r="AI26" i="4"/>
  <c r="BC26" i="4" s="1"/>
  <c r="AK27" i="4"/>
  <c r="BE27" i="4" s="1"/>
  <c r="O28" i="4"/>
  <c r="CN28" i="4" s="1"/>
  <c r="CO29" i="4"/>
  <c r="AJ29" i="4"/>
  <c r="CC29" i="4"/>
  <c r="BX30" i="4"/>
  <c r="BZ30" i="4" s="1"/>
  <c r="P31" i="4"/>
  <c r="H28" i="4"/>
  <c r="J28" i="4" s="1"/>
  <c r="BB31" i="4"/>
  <c r="BE32" i="4"/>
  <c r="AI35" i="4"/>
  <c r="CB37" i="4"/>
  <c r="CN38" i="4"/>
  <c r="CM38" i="4"/>
  <c r="AI39" i="4"/>
  <c r="BC39" i="4" s="1"/>
  <c r="BF39" i="4" s="1"/>
  <c r="AW40" i="4"/>
  <c r="CM42" i="4"/>
  <c r="BW44" i="4"/>
  <c r="BZ44" i="4" s="1"/>
  <c r="H75" i="4"/>
  <c r="BW76" i="4"/>
  <c r="BW91" i="4"/>
  <c r="BQ95" i="4"/>
  <c r="BX98" i="4"/>
  <c r="BV98" i="4"/>
  <c r="H100" i="4"/>
  <c r="J100" i="4" s="1"/>
  <c r="J102" i="4"/>
  <c r="BA114" i="4"/>
  <c r="BA113" i="4" s="1"/>
  <c r="AO113" i="4"/>
  <c r="AO108" i="4" s="1"/>
  <c r="AO95" i="4" s="1"/>
  <c r="P118" i="4"/>
  <c r="R118" i="4" s="1"/>
  <c r="CQ118" i="4" s="1"/>
  <c r="N118" i="4"/>
  <c r="L108" i="4"/>
  <c r="AK41" i="4"/>
  <c r="CC41" i="4"/>
  <c r="Q42" i="4"/>
  <c r="CP42" i="4" s="1"/>
  <c r="CB42" i="4"/>
  <c r="BE43" i="4"/>
  <c r="CN44" i="4"/>
  <c r="BV44" i="4"/>
  <c r="AH47" i="4"/>
  <c r="AJ48" i="4"/>
  <c r="BD48" i="4" s="1"/>
  <c r="AI50" i="4"/>
  <c r="BC50" i="4" s="1"/>
  <c r="CJ49" i="4"/>
  <c r="AI53" i="4"/>
  <c r="BA52" i="4"/>
  <c r="BW53" i="4"/>
  <c r="CA53" i="4" s="1"/>
  <c r="BW54" i="4"/>
  <c r="BW55" i="4"/>
  <c r="CN58" i="4"/>
  <c r="CM58" i="4"/>
  <c r="CP60" i="4"/>
  <c r="BB61" i="4"/>
  <c r="CN61" i="4"/>
  <c r="AI62" i="4"/>
  <c r="BC62" i="4" s="1"/>
  <c r="AJ63" i="4"/>
  <c r="BW63" i="4"/>
  <c r="AP66" i="4"/>
  <c r="CP67" i="4"/>
  <c r="AI67" i="4"/>
  <c r="BV69" i="4"/>
  <c r="AK70" i="4"/>
  <c r="BE70" i="4" s="1"/>
  <c r="BB70" i="4"/>
  <c r="AI71" i="4"/>
  <c r="BC71" i="4" s="1"/>
  <c r="BW71" i="4"/>
  <c r="BX74" i="4"/>
  <c r="I76" i="4"/>
  <c r="I75" i="4" s="1"/>
  <c r="AI76" i="4"/>
  <c r="BC76" i="4" s="1"/>
  <c r="BQ76" i="4"/>
  <c r="BQ75" i="4" s="1"/>
  <c r="CM77" i="4"/>
  <c r="AI80" i="4"/>
  <c r="BC80" i="4" s="1"/>
  <c r="AF85" i="4"/>
  <c r="AH85" i="4" s="1"/>
  <c r="AZ85" i="4"/>
  <c r="R86" i="4"/>
  <c r="AI87" i="4"/>
  <c r="BC87" i="4" s="1"/>
  <c r="BY87" i="4"/>
  <c r="AI89" i="4"/>
  <c r="BC89" i="4" s="1"/>
  <c r="AJ90" i="4"/>
  <c r="R93" i="4"/>
  <c r="AI94" i="4"/>
  <c r="AI97" i="4"/>
  <c r="BC97" i="4" s="1"/>
  <c r="AI98" i="4"/>
  <c r="BC98" i="4" s="1"/>
  <c r="BB98" i="4"/>
  <c r="AB100" i="4"/>
  <c r="AD101" i="4"/>
  <c r="BW104" i="4"/>
  <c r="CA104" i="4" s="1"/>
  <c r="BS102" i="4"/>
  <c r="AA95" i="4"/>
  <c r="R115" i="4"/>
  <c r="CK113" i="4"/>
  <c r="BV129" i="4"/>
  <c r="BW129" i="4"/>
  <c r="CK50" i="4"/>
  <c r="P51" i="4"/>
  <c r="R51" i="4" s="1"/>
  <c r="AJ53" i="4"/>
  <c r="BD53" i="4" s="1"/>
  <c r="CM54" i="4"/>
  <c r="AK55" i="4"/>
  <c r="BE55" i="4" s="1"/>
  <c r="BE58" i="4"/>
  <c r="AK61" i="4"/>
  <c r="BE61" i="4" s="1"/>
  <c r="CN63" i="4"/>
  <c r="CN66" i="4"/>
  <c r="AK66" i="4"/>
  <c r="BE66" i="4" s="1"/>
  <c r="BW66" i="4"/>
  <c r="CP68" i="4"/>
  <c r="BY69" i="4"/>
  <c r="BX71" i="4"/>
  <c r="CN74" i="4"/>
  <c r="AK74" i="4"/>
  <c r="BE74" i="4" s="1"/>
  <c r="BW74" i="4"/>
  <c r="BS75" i="4"/>
  <c r="BW79" i="4"/>
  <c r="AJ87" i="4"/>
  <c r="CM89" i="4"/>
  <c r="AI91" i="4"/>
  <c r="BC91" i="4" s="1"/>
  <c r="CN91" i="4"/>
  <c r="BW96" i="4"/>
  <c r="BX99" i="4"/>
  <c r="AR100" i="4"/>
  <c r="AT100" i="4" s="1"/>
  <c r="AT101" i="4"/>
  <c r="O113" i="4"/>
  <c r="K108" i="4"/>
  <c r="K95" i="4" s="1"/>
  <c r="V113" i="4"/>
  <c r="T108" i="4"/>
  <c r="BJ113" i="4"/>
  <c r="BT113" i="4"/>
  <c r="BH108" i="4"/>
  <c r="BT108" i="4" s="1"/>
  <c r="BO95" i="4"/>
  <c r="CN129" i="4"/>
  <c r="BW41" i="4"/>
  <c r="CN42" i="4"/>
  <c r="BB42" i="4"/>
  <c r="BV42" i="4"/>
  <c r="AK43" i="4"/>
  <c r="CP44" i="4"/>
  <c r="BY44" i="4"/>
  <c r="CC44" i="4" s="1"/>
  <c r="CM45" i="4"/>
  <c r="BV45" i="4"/>
  <c r="P46" i="4"/>
  <c r="AJ46" i="4" s="1"/>
  <c r="AH46" i="4"/>
  <c r="BW46" i="4"/>
  <c r="AK47" i="4"/>
  <c r="CC47" i="4" s="1"/>
  <c r="CP48" i="4"/>
  <c r="BX48" i="4"/>
  <c r="BZ48" i="4" s="1"/>
  <c r="M49" i="4"/>
  <c r="M40" i="4" s="1"/>
  <c r="AG51" i="4"/>
  <c r="U40" i="4"/>
  <c r="BI40" i="4"/>
  <c r="O52" i="4"/>
  <c r="AK53" i="4"/>
  <c r="Z52" i="4"/>
  <c r="AJ54" i="4"/>
  <c r="BY54" i="4"/>
  <c r="BU56" i="4"/>
  <c r="BR56" i="4"/>
  <c r="BB58" i="4"/>
  <c r="AI59" i="4"/>
  <c r="BC59" i="4" s="1"/>
  <c r="BW60" i="4"/>
  <c r="BV61" i="4"/>
  <c r="CN62" i="4"/>
  <c r="AK62" i="4"/>
  <c r="BE62" i="4" s="1"/>
  <c r="BY62" i="4"/>
  <c r="H64" i="4"/>
  <c r="CN65" i="4"/>
  <c r="Z64" i="4"/>
  <c r="AK65" i="4"/>
  <c r="BE65" i="4" s="1"/>
  <c r="BB66" i="4"/>
  <c r="CM67" i="4"/>
  <c r="BV67" i="4"/>
  <c r="BU68" i="4"/>
  <c r="BB72" i="4"/>
  <c r="BB74" i="4"/>
  <c r="BL75" i="4"/>
  <c r="CP79" i="4"/>
  <c r="CM79" i="4"/>
  <c r="R81" i="4"/>
  <c r="AY75" i="4"/>
  <c r="BB82" i="4"/>
  <c r="AH86" i="4"/>
  <c r="BY86" i="4"/>
  <c r="CP87" i="4"/>
  <c r="AK87" i="4"/>
  <c r="BE87" i="4" s="1"/>
  <c r="CN87" i="4"/>
  <c r="CP88" i="4"/>
  <c r="CP89" i="4"/>
  <c r="BV89" i="4"/>
  <c r="BY90" i="4"/>
  <c r="CC90" i="4" s="1"/>
  <c r="R92" i="4"/>
  <c r="R94" i="4"/>
  <c r="BW94" i="4"/>
  <c r="BB94" i="4"/>
  <c r="AJ96" i="4"/>
  <c r="CP96" i="4"/>
  <c r="BA97" i="4"/>
  <c r="CN98" i="4"/>
  <c r="CP98" i="4"/>
  <c r="BW98" i="4"/>
  <c r="AX101" i="4"/>
  <c r="AV100" i="4"/>
  <c r="AX100" i="4" s="1"/>
  <c r="CK101" i="4"/>
  <c r="BJ101" i="4"/>
  <c r="CM101" i="4" s="1"/>
  <c r="AD102" i="4"/>
  <c r="BT106" i="4"/>
  <c r="BX106" i="4" s="1"/>
  <c r="BZ106" i="4" s="1"/>
  <c r="BP102" i="4"/>
  <c r="BR102" i="4" s="1"/>
  <c r="G95" i="4"/>
  <c r="BF115" i="4"/>
  <c r="AX119" i="4"/>
  <c r="AV108" i="4"/>
  <c r="CM120" i="4"/>
  <c r="BZ94" i="4"/>
  <c r="CL100" i="4"/>
  <c r="AF101" i="4"/>
  <c r="AH101" i="4" s="1"/>
  <c r="CP101" i="4"/>
  <c r="Q102" i="4"/>
  <c r="CP102" i="4" s="1"/>
  <c r="BA100" i="4"/>
  <c r="BY104" i="4"/>
  <c r="CM105" i="4"/>
  <c r="BV105" i="4"/>
  <c r="CP107" i="4"/>
  <c r="AH107" i="4"/>
  <c r="W95" i="4"/>
  <c r="AS95" i="4"/>
  <c r="BB109" i="4"/>
  <c r="CM111" i="4"/>
  <c r="AJ112" i="4"/>
  <c r="BD112" i="4" s="1"/>
  <c r="BF112" i="4" s="1"/>
  <c r="N113" i="4"/>
  <c r="U113" i="4"/>
  <c r="U108" i="4" s="1"/>
  <c r="U95" i="4" s="1"/>
  <c r="AD113" i="4"/>
  <c r="AP113" i="4"/>
  <c r="BR113" i="4"/>
  <c r="R114" i="4"/>
  <c r="AY113" i="4"/>
  <c r="BW114" i="4"/>
  <c r="CA114" i="4" s="1"/>
  <c r="CA113" i="4" s="1"/>
  <c r="BV115" i="4"/>
  <c r="CP116" i="4"/>
  <c r="AK117" i="4"/>
  <c r="BE117" i="4" s="1"/>
  <c r="AI118" i="4"/>
  <c r="BC118" i="4" s="1"/>
  <c r="BW118" i="4"/>
  <c r="CK119" i="4"/>
  <c r="AI121" i="4"/>
  <c r="BC121" i="4" s="1"/>
  <c r="BF121" i="4" s="1"/>
  <c r="BY122" i="4"/>
  <c r="CN123" i="4"/>
  <c r="CM123" i="4"/>
  <c r="BX123" i="4"/>
  <c r="BW125" i="4"/>
  <c r="CN127" i="4"/>
  <c r="CP128" i="4"/>
  <c r="AI128" i="4"/>
  <c r="BC128" i="4" s="1"/>
  <c r="BY128" i="4"/>
  <c r="AK129" i="4"/>
  <c r="BE129" i="4" s="1"/>
  <c r="CM129" i="4"/>
  <c r="BX129" i="4"/>
  <c r="BZ129" i="4" s="1"/>
  <c r="AI130" i="4"/>
  <c r="BC130" i="4" s="1"/>
  <c r="BW130" i="4"/>
  <c r="CA130" i="4" s="1"/>
  <c r="AK131" i="4"/>
  <c r="BE131" i="4" s="1"/>
  <c r="BX131" i="4"/>
  <c r="CB131" i="4" s="1"/>
  <c r="M10" i="4"/>
  <c r="F28" i="4"/>
  <c r="AB10" i="4"/>
  <c r="AT28" i="4"/>
  <c r="BT28" i="4"/>
  <c r="BY94" i="4"/>
  <c r="AJ103" i="4"/>
  <c r="BX103" i="4"/>
  <c r="BZ103" i="4" s="1"/>
  <c r="C95" i="4"/>
  <c r="I95" i="4"/>
  <c r="S95" i="4"/>
  <c r="Y95" i="4"/>
  <c r="AU95" i="4"/>
  <c r="CP109" i="4"/>
  <c r="BC110" i="4"/>
  <c r="BW110" i="4"/>
  <c r="CA110" i="4" s="1"/>
  <c r="CN111" i="4"/>
  <c r="AK111" i="4"/>
  <c r="BE111" i="4" s="1"/>
  <c r="BY111" i="4"/>
  <c r="CO112" i="4"/>
  <c r="BY115" i="4"/>
  <c r="BU117" i="4"/>
  <c r="CL119" i="4"/>
  <c r="BA120" i="4"/>
  <c r="BA108" i="4" s="1"/>
  <c r="BA95" i="4" s="1"/>
  <c r="BW120" i="4"/>
  <c r="AF122" i="4"/>
  <c r="BY123" i="4"/>
  <c r="CM124" i="4"/>
  <c r="CO125" i="4"/>
  <c r="BW126" i="4"/>
  <c r="AJ130" i="4"/>
  <c r="CC131" i="4"/>
  <c r="BY136" i="4"/>
  <c r="Y10" i="4"/>
  <c r="BA28" i="4"/>
  <c r="CM98" i="4"/>
  <c r="AI99" i="4"/>
  <c r="BC99" i="4" s="1"/>
  <c r="BW99" i="4"/>
  <c r="BW101" i="4"/>
  <c r="AK103" i="4"/>
  <c r="BE103" i="4" s="1"/>
  <c r="CN105" i="4"/>
  <c r="AK105" i="4"/>
  <c r="BE105" i="4" s="1"/>
  <c r="BX105" i="4"/>
  <c r="BZ105" i="4" s="1"/>
  <c r="CN107" i="4"/>
  <c r="AJ107" i="4"/>
  <c r="AL107" i="4" s="1"/>
  <c r="AQ95" i="4"/>
  <c r="BK95" i="4"/>
  <c r="AJ109" i="4"/>
  <c r="CB109" i="4" s="1"/>
  <c r="AJ110" i="4"/>
  <c r="BD110" i="4" s="1"/>
  <c r="BF110" i="4" s="1"/>
  <c r="BV110" i="4"/>
  <c r="R111" i="4"/>
  <c r="BB112" i="4"/>
  <c r="F113" i="4"/>
  <c r="AX113" i="4"/>
  <c r="BS113" i="4"/>
  <c r="AI114" i="4"/>
  <c r="AI113" i="4" s="1"/>
  <c r="BC113" i="4" s="1"/>
  <c r="BQ108" i="4"/>
  <c r="AH115" i="4"/>
  <c r="BB115" i="4"/>
  <c r="BX115" i="4"/>
  <c r="CB115" i="4" s="1"/>
  <c r="CD115" i="4" s="1"/>
  <c r="AJ116" i="4"/>
  <c r="CB116" i="4" s="1"/>
  <c r="CD116" i="4" s="1"/>
  <c r="BV116" i="4"/>
  <c r="AI117" i="4"/>
  <c r="AK119" i="4"/>
  <c r="BE119" i="4" s="1"/>
  <c r="AJ120" i="4"/>
  <c r="AK121" i="4"/>
  <c r="BE121" i="4" s="1"/>
  <c r="CP122" i="4"/>
  <c r="BW122" i="4"/>
  <c r="BZ122" i="4" s="1"/>
  <c r="BB123" i="4"/>
  <c r="CP124" i="4"/>
  <c r="BC124" i="4"/>
  <c r="BY124" i="4"/>
  <c r="CC124" i="4" s="1"/>
  <c r="AK125" i="4"/>
  <c r="BB125" i="4"/>
  <c r="CN126" i="4"/>
  <c r="AK126" i="4"/>
  <c r="BE126" i="4" s="1"/>
  <c r="CM126" i="4"/>
  <c r="AI129" i="4"/>
  <c r="BC129" i="4" s="1"/>
  <c r="AK130" i="4"/>
  <c r="BE130" i="4" s="1"/>
  <c r="CM130" i="4"/>
  <c r="BX130" i="4"/>
  <c r="CP131" i="4"/>
  <c r="AI131" i="4"/>
  <c r="BC131" i="4" s="1"/>
  <c r="AH45" i="4"/>
  <c r="AK45" i="4"/>
  <c r="BB45" i="4"/>
  <c r="AK127" i="4"/>
  <c r="BE127" i="4" s="1"/>
  <c r="CM127" i="4"/>
  <c r="BX127" i="4"/>
  <c r="CC127" i="4"/>
  <c r="AI127" i="4"/>
  <c r="BC127" i="4" s="1"/>
  <c r="BW127" i="4"/>
  <c r="BZ127" i="4" s="1"/>
  <c r="BV79" i="4"/>
  <c r="BB84" i="4"/>
  <c r="AI85" i="4"/>
  <c r="BC85" i="4" s="1"/>
  <c r="BD87" i="4"/>
  <c r="BF87" i="4" s="1"/>
  <c r="CA89" i="4"/>
  <c r="CN85" i="4"/>
  <c r="AK79" i="4"/>
  <c r="BE79" i="4" s="1"/>
  <c r="AW34" i="4"/>
  <c r="AW33" i="4" s="1"/>
  <c r="N75" i="4"/>
  <c r="AB75" i="4"/>
  <c r="AD75" i="4" s="1"/>
  <c r="BN76" i="4"/>
  <c r="BX77" i="4"/>
  <c r="CB77" i="4" s="1"/>
  <c r="CP78" i="4"/>
  <c r="BB78" i="4"/>
  <c r="CN79" i="4"/>
  <c r="BB79" i="4"/>
  <c r="BY79" i="4"/>
  <c r="AJ80" i="4"/>
  <c r="BD80" i="4" s="1"/>
  <c r="BV80" i="4"/>
  <c r="CO83" i="4"/>
  <c r="BW84" i="4"/>
  <c r="BW85" i="4"/>
  <c r="CA85" i="4" s="1"/>
  <c r="AI77" i="4"/>
  <c r="BC77" i="4" s="1"/>
  <c r="BY77" i="4"/>
  <c r="CN78" i="4"/>
  <c r="BX79" i="4"/>
  <c r="BY82" i="4"/>
  <c r="AJ83" i="4"/>
  <c r="BY83" i="4"/>
  <c r="CO84" i="4"/>
  <c r="BX84" i="4"/>
  <c r="BZ84" i="4" s="1"/>
  <c r="BY85" i="4"/>
  <c r="CA90" i="4"/>
  <c r="F64" i="4"/>
  <c r="R66" i="4"/>
  <c r="CQ66" i="4" s="1"/>
  <c r="BY67" i="4"/>
  <c r="AK68" i="4"/>
  <c r="BE68" i="4" s="1"/>
  <c r="BY68" i="4"/>
  <c r="CC68" i="4" s="1"/>
  <c r="AH72" i="4"/>
  <c r="BX73" i="4"/>
  <c r="BY73" i="4"/>
  <c r="BY74" i="4"/>
  <c r="CC74" i="4" s="1"/>
  <c r="AJ68" i="4"/>
  <c r="AI65" i="4"/>
  <c r="AI66" i="4"/>
  <c r="BC66" i="4" s="1"/>
  <c r="AJ67" i="4"/>
  <c r="BD67" i="4" s="1"/>
  <c r="BX67" i="4"/>
  <c r="BW69" i="4"/>
  <c r="BW70" i="4"/>
  <c r="CN72" i="4"/>
  <c r="CM72" i="4"/>
  <c r="AI74" i="4"/>
  <c r="BC74" i="4" s="1"/>
  <c r="N64" i="4"/>
  <c r="AH68" i="4"/>
  <c r="AK72" i="4"/>
  <c r="BE72" i="4" s="1"/>
  <c r="BX72" i="4"/>
  <c r="CN73" i="4"/>
  <c r="CM74" i="4"/>
  <c r="BS64" i="4"/>
  <c r="BW65" i="4"/>
  <c r="CA65" i="4" s="1"/>
  <c r="AJ66" i="4"/>
  <c r="BD66" i="4" s="1"/>
  <c r="AK67" i="4"/>
  <c r="BE67" i="4" s="1"/>
  <c r="BC67" i="4"/>
  <c r="BF67" i="4" s="1"/>
  <c r="BW67" i="4"/>
  <c r="CA67" i="4" s="1"/>
  <c r="CN68" i="4"/>
  <c r="AI68" i="4"/>
  <c r="BX69" i="4"/>
  <c r="BZ69" i="4" s="1"/>
  <c r="AJ70" i="4"/>
  <c r="BD70" i="4" s="1"/>
  <c r="CM70" i="4"/>
  <c r="BV70" i="4"/>
  <c r="CN71" i="4"/>
  <c r="BB71" i="4"/>
  <c r="CM71" i="4"/>
  <c r="BV71" i="4"/>
  <c r="CO72" i="4"/>
  <c r="AJ72" i="4"/>
  <c r="BD72" i="4" s="1"/>
  <c r="BY72" i="4"/>
  <c r="AK73" i="4"/>
  <c r="BE73" i="4" s="1"/>
  <c r="AJ74" i="4"/>
  <c r="CB74" i="4" s="1"/>
  <c r="BV74" i="4"/>
  <c r="AF52" i="4"/>
  <c r="BJ52" i="4"/>
  <c r="BT52" i="4"/>
  <c r="CO54" i="4"/>
  <c r="CM53" i="4"/>
  <c r="BX53" i="4"/>
  <c r="CB53" i="4" s="1"/>
  <c r="CL52" i="4"/>
  <c r="F52" i="4"/>
  <c r="CM55" i="4"/>
  <c r="BV55" i="4"/>
  <c r="CO53" i="4"/>
  <c r="R53" i="4"/>
  <c r="AP52" i="4"/>
  <c r="BN52" i="4"/>
  <c r="BU52" i="4"/>
  <c r="AI54" i="4"/>
  <c r="BC54" i="4" s="1"/>
  <c r="AX52" i="4"/>
  <c r="CN54" i="4"/>
  <c r="CP55" i="4"/>
  <c r="AI55" i="4"/>
  <c r="BC55" i="4" s="1"/>
  <c r="BY55" i="4"/>
  <c r="O49" i="4"/>
  <c r="AG49" i="4"/>
  <c r="BS49" i="4"/>
  <c r="AI51" i="4"/>
  <c r="BC51" i="4" s="1"/>
  <c r="G34" i="4"/>
  <c r="G33" i="4" s="1"/>
  <c r="T34" i="4"/>
  <c r="BW50" i="4"/>
  <c r="AQ34" i="4"/>
  <c r="BW51" i="4"/>
  <c r="CA51" i="4" s="1"/>
  <c r="AE28" i="4"/>
  <c r="BK10" i="4"/>
  <c r="Q28" i="4"/>
  <c r="AF28" i="4"/>
  <c r="AJ28" i="4" s="1"/>
  <c r="CJ28" i="4"/>
  <c r="CJ10" i="4" s="1"/>
  <c r="BV31" i="4"/>
  <c r="D10" i="4"/>
  <c r="AO10" i="4"/>
  <c r="AQ10" i="4"/>
  <c r="BQ10" i="4"/>
  <c r="AD28" i="4"/>
  <c r="BS28" i="4"/>
  <c r="BU28" i="4"/>
  <c r="R31" i="4"/>
  <c r="AH31" i="4"/>
  <c r="BY31" i="4"/>
  <c r="BN28" i="4"/>
  <c r="CN31" i="4"/>
  <c r="S10" i="4"/>
  <c r="P28" i="4"/>
  <c r="R28" i="4" s="1"/>
  <c r="AY28" i="4"/>
  <c r="CP31" i="4"/>
  <c r="BX31" i="4"/>
  <c r="BZ31" i="4" s="1"/>
  <c r="BX133" i="4"/>
  <c r="CC135" i="4"/>
  <c r="CC136" i="4"/>
  <c r="R126" i="4"/>
  <c r="CQ126" i="4" s="1"/>
  <c r="CO126" i="4"/>
  <c r="CP126" i="4"/>
  <c r="AI126" i="4"/>
  <c r="BC126" i="4" s="1"/>
  <c r="BV126" i="4"/>
  <c r="AJ126" i="4"/>
  <c r="BD126" i="4" s="1"/>
  <c r="BF126" i="4" s="1"/>
  <c r="BX126" i="4"/>
  <c r="BZ126" i="4" s="1"/>
  <c r="BC123" i="4"/>
  <c r="CQ123" i="4"/>
  <c r="AK123" i="4"/>
  <c r="BE123" i="4" s="1"/>
  <c r="BW123" i="4"/>
  <c r="CA123" i="4" s="1"/>
  <c r="CN112" i="4"/>
  <c r="BV112" i="4"/>
  <c r="AA33" i="4"/>
  <c r="AI111" i="4"/>
  <c r="BC111" i="4" s="1"/>
  <c r="BF111" i="4" s="1"/>
  <c r="CP112" i="4"/>
  <c r="AH112" i="4"/>
  <c r="BY112" i="4"/>
  <c r="BF80" i="4"/>
  <c r="CL76" i="4"/>
  <c r="AK80" i="4"/>
  <c r="BE80" i="4" s="1"/>
  <c r="BW80" i="4"/>
  <c r="CP81" i="4"/>
  <c r="AI81" i="4"/>
  <c r="BC81" i="4" s="1"/>
  <c r="CP82" i="4"/>
  <c r="AI82" i="4"/>
  <c r="BC82" i="4" s="1"/>
  <c r="BW82" i="4"/>
  <c r="CA82" i="4" s="1"/>
  <c r="AJ84" i="4"/>
  <c r="BD84" i="4" s="1"/>
  <c r="E34" i="4"/>
  <c r="J75" i="4"/>
  <c r="BJ75" i="4"/>
  <c r="CJ76" i="4"/>
  <c r="CN76" i="4" s="1"/>
  <c r="AH80" i="4"/>
  <c r="CM80" i="4"/>
  <c r="CO80" i="4"/>
  <c r="AJ81" i="4"/>
  <c r="BD81" i="4" s="1"/>
  <c r="BF81" i="4" s="1"/>
  <c r="CO81" i="4"/>
  <c r="AJ82" i="4"/>
  <c r="BD82" i="4" s="1"/>
  <c r="BF82" i="4" s="1"/>
  <c r="CM83" i="4"/>
  <c r="CM84" i="4"/>
  <c r="BV84" i="4"/>
  <c r="V75" i="4"/>
  <c r="AP75" i="4"/>
  <c r="CP80" i="4"/>
  <c r="BY80" i="4"/>
  <c r="CM81" i="4"/>
  <c r="CN82" i="4"/>
  <c r="BB83" i="4"/>
  <c r="R73" i="4"/>
  <c r="O64" i="4"/>
  <c r="CP73" i="4"/>
  <c r="AI73" i="4"/>
  <c r="CA73" i="4" s="1"/>
  <c r="BB73" i="4"/>
  <c r="BY70" i="4"/>
  <c r="CC70" i="4" s="1"/>
  <c r="U34" i="4"/>
  <c r="U33" i="4" s="1"/>
  <c r="CP70" i="4"/>
  <c r="AI70" i="4"/>
  <c r="BC70" i="4" s="1"/>
  <c r="BG33" i="4"/>
  <c r="AS34" i="4"/>
  <c r="AS33" i="4" s="1"/>
  <c r="AY64" i="4"/>
  <c r="CN64" i="4" s="1"/>
  <c r="CN70" i="4"/>
  <c r="V64" i="4"/>
  <c r="AH88" i="4"/>
  <c r="AK88" i="4"/>
  <c r="CC88" i="4" s="1"/>
  <c r="CN88" i="4"/>
  <c r="AJ88" i="4"/>
  <c r="AL88" i="4" s="1"/>
  <c r="AH8" i="4"/>
  <c r="AH9" i="4"/>
  <c r="BX9" i="4"/>
  <c r="BZ9" i="4" s="1"/>
  <c r="BW8" i="4"/>
  <c r="BE9" i="4"/>
  <c r="BY9" i="4"/>
  <c r="CC9" i="4" s="1"/>
  <c r="AT108" i="4"/>
  <c r="AG108" i="4"/>
  <c r="R125" i="4"/>
  <c r="CQ125" i="4" s="1"/>
  <c r="AH125" i="4"/>
  <c r="CM125" i="4"/>
  <c r="BV125" i="4"/>
  <c r="J108" i="4"/>
  <c r="J95" i="4" s="1"/>
  <c r="BR108" i="4"/>
  <c r="BE125" i="4"/>
  <c r="CP125" i="4"/>
  <c r="AI125" i="4"/>
  <c r="BC125" i="4" s="1"/>
  <c r="BY125" i="4"/>
  <c r="BX109" i="4"/>
  <c r="BD109" i="4"/>
  <c r="BS95" i="4"/>
  <c r="P108" i="4"/>
  <c r="O108" i="4"/>
  <c r="V108" i="4"/>
  <c r="BS108" i="4"/>
  <c r="BV109" i="4"/>
  <c r="CJ108" i="4"/>
  <c r="CJ95" i="4" s="1"/>
  <c r="CO109" i="4"/>
  <c r="BN108" i="4"/>
  <c r="N108" i="4"/>
  <c r="AD108" i="4"/>
  <c r="AX108" i="4"/>
  <c r="BY109" i="4"/>
  <c r="AJ94" i="4"/>
  <c r="AJ93" i="4"/>
  <c r="AJ92" i="4"/>
  <c r="AJ91" i="4"/>
  <c r="AK94" i="4"/>
  <c r="AK93" i="4"/>
  <c r="AK92" i="4"/>
  <c r="BN75" i="4"/>
  <c r="CM90" i="4"/>
  <c r="BV90" i="4"/>
  <c r="CP86" i="4"/>
  <c r="CC86" i="4"/>
  <c r="CN59" i="4"/>
  <c r="AI58" i="4"/>
  <c r="BC58" i="4" s="1"/>
  <c r="BY58" i="4"/>
  <c r="CC58" i="4" s="1"/>
  <c r="AJ59" i="4"/>
  <c r="BY60" i="4"/>
  <c r="CP61" i="4"/>
  <c r="BW61" i="4"/>
  <c r="AK63" i="4"/>
  <c r="BE63" i="4" s="1"/>
  <c r="CM63" i="4"/>
  <c r="CM59" i="4"/>
  <c r="AI60" i="4"/>
  <c r="BC60" i="4" s="1"/>
  <c r="CM61" i="4"/>
  <c r="BW62" i="4"/>
  <c r="BY63" i="4"/>
  <c r="CC63" i="4" s="1"/>
  <c r="CA59" i="4"/>
  <c r="CP58" i="4"/>
  <c r="BW58" i="4"/>
  <c r="BY59" i="4"/>
  <c r="AJ60" i="4"/>
  <c r="AL60" i="4" s="1"/>
  <c r="CN60" i="4"/>
  <c r="AI61" i="4"/>
  <c r="BC61" i="4" s="1"/>
  <c r="BY61" i="4"/>
  <c r="CC61" i="4" s="1"/>
  <c r="CM62" i="4"/>
  <c r="AI63" i="4"/>
  <c r="BC63" i="4" s="1"/>
  <c r="BW24" i="4"/>
  <c r="F24" i="4"/>
  <c r="Q24" i="4"/>
  <c r="Z24" i="4"/>
  <c r="BU24" i="4"/>
  <c r="BY24" i="4" s="1"/>
  <c r="L10" i="4"/>
  <c r="AU10" i="4"/>
  <c r="CN26" i="4"/>
  <c r="AJ26" i="4"/>
  <c r="AL26" i="4" s="1"/>
  <c r="BW26" i="4"/>
  <c r="CA26" i="4" s="1"/>
  <c r="CP26" i="4"/>
  <c r="G10" i="4"/>
  <c r="AD10" i="4"/>
  <c r="N24" i="4"/>
  <c r="AP24" i="4"/>
  <c r="AK26" i="4"/>
  <c r="BE26" i="4" s="1"/>
  <c r="CM26" i="4"/>
  <c r="BX26" i="4"/>
  <c r="BZ26" i="4" s="1"/>
  <c r="AK28" i="4"/>
  <c r="BE28" i="4" s="1"/>
  <c r="BC13" i="4"/>
  <c r="AL13" i="4"/>
  <c r="CA14" i="4"/>
  <c r="CA9" i="4"/>
  <c r="BY28" i="4"/>
  <c r="CC8" i="4"/>
  <c r="BD8" i="4"/>
  <c r="AL8" i="4"/>
  <c r="CP12" i="4"/>
  <c r="BZ17" i="4"/>
  <c r="CP28" i="4"/>
  <c r="CA8" i="4"/>
  <c r="CC17" i="4"/>
  <c r="AK18" i="4"/>
  <c r="AI12" i="4"/>
  <c r="BF13" i="4"/>
  <c r="BW13" i="4"/>
  <c r="CA13" i="4" s="1"/>
  <c r="CK20" i="4"/>
  <c r="CO20" i="4" s="1"/>
  <c r="BT20" i="4"/>
  <c r="BJ20" i="4"/>
  <c r="BH11" i="4"/>
  <c r="BH10" i="4" s="1"/>
  <c r="CP22" i="4"/>
  <c r="BX28" i="4"/>
  <c r="BV28" i="4"/>
  <c r="CM28" i="4"/>
  <c r="AK31" i="4"/>
  <c r="BE31" i="4" s="1"/>
  <c r="P56" i="4"/>
  <c r="CK68" i="4"/>
  <c r="CO68" i="4" s="1"/>
  <c r="BT68" i="4"/>
  <c r="BN68" i="4"/>
  <c r="BN64" i="4" s="1"/>
  <c r="BL64" i="4"/>
  <c r="CP90" i="4"/>
  <c r="AK90" i="4"/>
  <c r="BE90" i="4" s="1"/>
  <c r="R103" i="4"/>
  <c r="CN103" i="4"/>
  <c r="O102" i="4"/>
  <c r="AK7" i="4"/>
  <c r="BX8" i="4"/>
  <c r="AJ9" i="4"/>
  <c r="CA12" i="4"/>
  <c r="BB13" i="4"/>
  <c r="AK14" i="4"/>
  <c r="BE14" i="4" s="1"/>
  <c r="CP14" i="4"/>
  <c r="BN14" i="4"/>
  <c r="CM14" i="4" s="1"/>
  <c r="BT14" i="4"/>
  <c r="BN15" i="4"/>
  <c r="CM15" i="4" s="1"/>
  <c r="CK15" i="4"/>
  <c r="BT15" i="4"/>
  <c r="AI16" i="4"/>
  <c r="BC16" i="4" s="1"/>
  <c r="CN16" i="4"/>
  <c r="CO17" i="4"/>
  <c r="P18" i="4"/>
  <c r="J18" i="4"/>
  <c r="J11" i="4" s="1"/>
  <c r="J10" i="4" s="1"/>
  <c r="H11" i="4"/>
  <c r="H10" i="4" s="1"/>
  <c r="BX18" i="4"/>
  <c r="CA22" i="4"/>
  <c r="AJ23" i="4"/>
  <c r="O24" i="4"/>
  <c r="R24" i="4" s="1"/>
  <c r="R25" i="4"/>
  <c r="CN25" i="4"/>
  <c r="AI25" i="4"/>
  <c r="BD26" i="4"/>
  <c r="BF26" i="4" s="1"/>
  <c r="CN27" i="4"/>
  <c r="BB28" i="4"/>
  <c r="R30" i="4"/>
  <c r="CO30" i="4"/>
  <c r="CN32" i="4"/>
  <c r="BD32" i="4"/>
  <c r="BZ32" i="4"/>
  <c r="BC35" i="4"/>
  <c r="AH41" i="4"/>
  <c r="CQ41" i="4" s="1"/>
  <c r="AI41" i="4"/>
  <c r="AH43" i="4"/>
  <c r="AJ43" i="4"/>
  <c r="CP43" i="4"/>
  <c r="BZ45" i="4"/>
  <c r="CL50" i="4"/>
  <c r="BU50" i="4"/>
  <c r="BY50" i="4" s="1"/>
  <c r="BM49" i="4"/>
  <c r="BM40" i="4" s="1"/>
  <c r="BU40" i="4" s="1"/>
  <c r="BD54" i="4"/>
  <c r="BF54" i="4" s="1"/>
  <c r="AL54" i="4"/>
  <c r="CP59" i="4"/>
  <c r="AK59" i="4"/>
  <c r="BE59" i="4" s="1"/>
  <c r="BR65" i="4"/>
  <c r="BR64" i="4" s="1"/>
  <c r="BP64" i="4"/>
  <c r="CK65" i="4"/>
  <c r="BT65" i="4"/>
  <c r="BJ64" i="4"/>
  <c r="CM66" i="4"/>
  <c r="BV66" i="4"/>
  <c r="BX66" i="4"/>
  <c r="BC68" i="4"/>
  <c r="AP68" i="4"/>
  <c r="AP64" i="4" s="1"/>
  <c r="AZ68" i="4"/>
  <c r="AN64" i="4"/>
  <c r="CA76" i="4"/>
  <c r="AK19" i="4"/>
  <c r="BE19" i="4" s="1"/>
  <c r="R23" i="4"/>
  <c r="AZ25" i="4"/>
  <c r="AT25" i="4"/>
  <c r="AR24" i="4"/>
  <c r="AT24" i="4" s="1"/>
  <c r="CO27" i="4"/>
  <c r="BB27" i="4"/>
  <c r="BD29" i="4"/>
  <c r="BF29" i="4" s="1"/>
  <c r="AL29" i="4"/>
  <c r="BB36" i="4"/>
  <c r="BD42" i="4"/>
  <c r="AH78" i="4"/>
  <c r="AI78" i="4"/>
  <c r="BC78" i="4" s="1"/>
  <c r="C10" i="4"/>
  <c r="AA10" i="4"/>
  <c r="AA132" i="4" s="1"/>
  <c r="CN12" i="4"/>
  <c r="CB12" i="4"/>
  <c r="CO13" i="4"/>
  <c r="AJ15" i="4"/>
  <c r="CO15" i="4"/>
  <c r="R15" i="4"/>
  <c r="CO16" i="4"/>
  <c r="R16" i="4"/>
  <c r="CQ16" i="4" s="1"/>
  <c r="AJ16" i="4"/>
  <c r="AI17" i="4"/>
  <c r="BC17" i="4" s="1"/>
  <c r="BP11" i="4"/>
  <c r="BR17" i="4"/>
  <c r="CM17" i="4" s="1"/>
  <c r="CP17" i="4"/>
  <c r="CN18" i="4"/>
  <c r="AE11" i="4"/>
  <c r="CN11" i="4" s="1"/>
  <c r="CN19" i="4"/>
  <c r="AI19" i="4"/>
  <c r="BC19" i="4" s="1"/>
  <c r="AJ20" i="4"/>
  <c r="R20" i="4"/>
  <c r="P22" i="4"/>
  <c r="F22" i="4"/>
  <c r="AK22" i="4"/>
  <c r="BE22" i="4" s="1"/>
  <c r="AK23" i="4"/>
  <c r="BE23" i="4" s="1"/>
  <c r="AE24" i="4"/>
  <c r="AH24" i="4" s="1"/>
  <c r="BJ24" i="4"/>
  <c r="BG10" i="4"/>
  <c r="BD25" i="4"/>
  <c r="AJ24" i="4"/>
  <c r="CK25" i="4"/>
  <c r="CK24" i="4" s="1"/>
  <c r="BT25" i="4"/>
  <c r="BN25" i="4"/>
  <c r="CM25" i="4" s="1"/>
  <c r="BL24" i="4"/>
  <c r="BN24" i="4" s="1"/>
  <c r="BN10" i="4" s="1"/>
  <c r="CA25" i="4"/>
  <c r="BD27" i="4"/>
  <c r="CO28" i="4"/>
  <c r="CP30" i="4"/>
  <c r="AI31" i="4"/>
  <c r="BC31" i="4" s="1"/>
  <c r="CO31" i="4"/>
  <c r="CB32" i="4"/>
  <c r="R45" i="4"/>
  <c r="CN45" i="4"/>
  <c r="BE46" i="4"/>
  <c r="AK46" i="4"/>
  <c r="AN2" i="4" s="1"/>
  <c r="CP46" i="4"/>
  <c r="BD47" i="4"/>
  <c r="C33" i="4"/>
  <c r="CA55" i="4"/>
  <c r="R58" i="4"/>
  <c r="CO58" i="4"/>
  <c r="BD60" i="4"/>
  <c r="BF60" i="4" s="1"/>
  <c r="R62" i="4"/>
  <c r="CO62" i="4"/>
  <c r="BC65" i="4"/>
  <c r="BA64" i="4"/>
  <c r="CN13" i="4"/>
  <c r="BT11" i="4"/>
  <c r="BV17" i="4"/>
  <c r="CL18" i="4"/>
  <c r="BU18" i="4"/>
  <c r="AZ19" i="4"/>
  <c r="AT19" i="4"/>
  <c r="AT11" i="4" s="1"/>
  <c r="AR11" i="4"/>
  <c r="CC31" i="4"/>
  <c r="BB41" i="4"/>
  <c r="AN40" i="4"/>
  <c r="AZ56" i="4"/>
  <c r="BB56" i="4" s="1"/>
  <c r="AP56" i="4"/>
  <c r="CO12" i="4"/>
  <c r="CQ13" i="4"/>
  <c r="BX13" i="4"/>
  <c r="CP13" i="4"/>
  <c r="AL14" i="4"/>
  <c r="CK14" i="4"/>
  <c r="CO14" i="4" s="1"/>
  <c r="CP15" i="4"/>
  <c r="AK15" i="4"/>
  <c r="AK16" i="4"/>
  <c r="BE16" i="4" s="1"/>
  <c r="R17" i="4"/>
  <c r="AJ17" i="4"/>
  <c r="CB17" i="4" s="1"/>
  <c r="CD17" i="4" s="1"/>
  <c r="CA17" i="4"/>
  <c r="AH18" i="4"/>
  <c r="BW18" i="4"/>
  <c r="R19" i="4"/>
  <c r="AF19" i="4"/>
  <c r="AJ19" i="4" s="1"/>
  <c r="V19" i="4"/>
  <c r="T11" i="4"/>
  <c r="T10" i="4" s="1"/>
  <c r="Q20" i="4"/>
  <c r="CL20" i="4"/>
  <c r="BU20" i="4"/>
  <c r="BY20" i="4" s="1"/>
  <c r="AK21" i="4"/>
  <c r="BE21" i="4" s="1"/>
  <c r="CC21" i="4"/>
  <c r="BY22" i="4"/>
  <c r="AH23" i="4"/>
  <c r="BW23" i="4"/>
  <c r="AK25" i="4"/>
  <c r="AG24" i="4"/>
  <c r="AG10" i="4" s="1"/>
  <c r="BU25" i="4"/>
  <c r="BY25" i="4" s="1"/>
  <c r="CL25" i="4"/>
  <c r="CO26" i="4"/>
  <c r="BB26" i="4"/>
  <c r="AI27" i="4"/>
  <c r="BC27" i="4" s="1"/>
  <c r="CM27" i="4"/>
  <c r="BX27" i="4"/>
  <c r="BW28" i="4"/>
  <c r="R29" i="4"/>
  <c r="CQ29" i="4" s="1"/>
  <c r="CN29" i="4"/>
  <c r="CA29" i="4"/>
  <c r="BZ29" i="4"/>
  <c r="AJ30" i="4"/>
  <c r="CC30" i="4"/>
  <c r="CP32" i="4"/>
  <c r="AI32" i="4"/>
  <c r="BC32" i="4" s="1"/>
  <c r="BY32" i="4"/>
  <c r="CC32" i="4" s="1"/>
  <c r="Z35" i="4"/>
  <c r="AT35" i="4"/>
  <c r="N36" i="4"/>
  <c r="P36" i="4"/>
  <c r="BC36" i="4"/>
  <c r="AG38" i="4"/>
  <c r="Y34" i="4"/>
  <c r="AI38" i="4"/>
  <c r="BC38" i="4" s="1"/>
  <c r="BZ42" i="4"/>
  <c r="AP49" i="4"/>
  <c r="AM40" i="4"/>
  <c r="AM34" i="4" s="1"/>
  <c r="AY49" i="4"/>
  <c r="AY40" i="4" s="1"/>
  <c r="AU40" i="4"/>
  <c r="AU34" i="4" s="1"/>
  <c r="AU33" i="4" s="1"/>
  <c r="BA51" i="4"/>
  <c r="CP51" i="4" s="1"/>
  <c r="AO49" i="4"/>
  <c r="CL51" i="4"/>
  <c r="BU51" i="4"/>
  <c r="BC53" i="4"/>
  <c r="BC52" i="4" s="1"/>
  <c r="AI52" i="4"/>
  <c r="BZ53" i="4"/>
  <c r="BL40" i="4"/>
  <c r="BN56" i="4"/>
  <c r="BT56" i="4"/>
  <c r="BS11" i="4"/>
  <c r="BS10" i="4" s="1"/>
  <c r="BU14" i="4"/>
  <c r="BY14" i="4" s="1"/>
  <c r="F19" i="4"/>
  <c r="F11" i="4" s="1"/>
  <c r="Z19" i="4"/>
  <c r="Z11" i="4" s="1"/>
  <c r="Z10" i="4" s="1"/>
  <c r="AX19" i="4"/>
  <c r="AX11" i="4" s="1"/>
  <c r="AX10" i="4" s="1"/>
  <c r="BU19" i="4"/>
  <c r="BY19" i="4" s="1"/>
  <c r="V20" i="4"/>
  <c r="AI20" i="4"/>
  <c r="BC20" i="4" s="1"/>
  <c r="BP24" i="4"/>
  <c r="BR24" i="4" s="1"/>
  <c r="BR10" i="4" s="1"/>
  <c r="BV26" i="4"/>
  <c r="BV27" i="4"/>
  <c r="N28" i="4"/>
  <c r="V28" i="4"/>
  <c r="AP28" i="4"/>
  <c r="AP10" i="4" s="1"/>
  <c r="BJ28" i="4"/>
  <c r="AH30" i="4"/>
  <c r="BQ34" i="4"/>
  <c r="BQ33" i="4" s="1"/>
  <c r="BQ132" i="4" s="1"/>
  <c r="BQ140" i="4" s="1"/>
  <c r="BA36" i="4"/>
  <c r="CL36" i="4"/>
  <c r="BU36" i="4"/>
  <c r="BW36" i="4"/>
  <c r="CA36" i="4" s="1"/>
  <c r="CA37" i="4"/>
  <c r="R38" i="4"/>
  <c r="AF38" i="4"/>
  <c r="V38" i="4"/>
  <c r="CO39" i="4"/>
  <c r="R39" i="4"/>
  <c r="CQ39" i="4" s="1"/>
  <c r="CN41" i="4"/>
  <c r="AL41" i="4"/>
  <c r="AI42" i="4"/>
  <c r="BC42" i="4" s="1"/>
  <c r="R43" i="4"/>
  <c r="CN43" i="4"/>
  <c r="CA43" i="4"/>
  <c r="BZ43" i="4"/>
  <c r="CO45" i="4"/>
  <c r="AJ45" i="4"/>
  <c r="CB45" i="4" s="1"/>
  <c r="CK46" i="4"/>
  <c r="BT46" i="4"/>
  <c r="BP40" i="4"/>
  <c r="BR46" i="4"/>
  <c r="CO47" i="4"/>
  <c r="Z49" i="4"/>
  <c r="W40" i="4"/>
  <c r="W34" i="4" s="1"/>
  <c r="W33" i="4" s="1"/>
  <c r="W132" i="4" s="1"/>
  <c r="BO40" i="4"/>
  <c r="BO34" i="4" s="1"/>
  <c r="BO33" i="4" s="1"/>
  <c r="F50" i="4"/>
  <c r="D49" i="4"/>
  <c r="P50" i="4"/>
  <c r="BV50" i="4"/>
  <c r="Q49" i="4"/>
  <c r="AK51" i="4"/>
  <c r="CK51" i="4"/>
  <c r="BT51" i="4"/>
  <c r="BJ51" i="4"/>
  <c r="CM51" i="4" s="1"/>
  <c r="BH49" i="4"/>
  <c r="AH53" i="4"/>
  <c r="AE52" i="4"/>
  <c r="BB53" i="4"/>
  <c r="BB52" i="4" s="1"/>
  <c r="AZ52" i="4"/>
  <c r="AG54" i="4"/>
  <c r="AJ55" i="4"/>
  <c r="AJ52" i="4" s="1"/>
  <c r="CC55" i="4"/>
  <c r="Q56" i="4"/>
  <c r="BA56" i="4"/>
  <c r="BV58" i="4"/>
  <c r="R59" i="4"/>
  <c r="CO59" i="4"/>
  <c r="AJ61" i="4"/>
  <c r="CP62" i="4"/>
  <c r="BV62" i="4"/>
  <c r="R63" i="4"/>
  <c r="CO63" i="4"/>
  <c r="AJ65" i="4"/>
  <c r="AD64" i="4"/>
  <c r="BY66" i="4"/>
  <c r="CC66" i="4" s="1"/>
  <c r="I64" i="4"/>
  <c r="Q69" i="4"/>
  <c r="CP69" i="4" s="1"/>
  <c r="R69" i="4"/>
  <c r="CO69" i="4"/>
  <c r="AJ69" i="4"/>
  <c r="AH71" i="4"/>
  <c r="AF64" i="4"/>
  <c r="AX76" i="4"/>
  <c r="AV75" i="4"/>
  <c r="AX75" i="4" s="1"/>
  <c r="R77" i="4"/>
  <c r="CO77" i="4"/>
  <c r="BE77" i="4"/>
  <c r="BV77" i="4"/>
  <c r="BW77" i="4"/>
  <c r="CJ75" i="4"/>
  <c r="CN75" i="4" s="1"/>
  <c r="BV83" i="4"/>
  <c r="BX83" i="4"/>
  <c r="CO96" i="4"/>
  <c r="BB96" i="4"/>
  <c r="Q97" i="4"/>
  <c r="AK97" i="4" s="1"/>
  <c r="M95" i="4"/>
  <c r="CL97" i="4"/>
  <c r="BU97" i="4"/>
  <c r="BY97" i="4" s="1"/>
  <c r="F12" i="4"/>
  <c r="BU15" i="4"/>
  <c r="BT16" i="4"/>
  <c r="AR23" i="4"/>
  <c r="BU23" i="4"/>
  <c r="BY23" i="4" s="1"/>
  <c r="CC23" i="4" s="1"/>
  <c r="AC24" i="4"/>
  <c r="AC10" i="4" s="1"/>
  <c r="AW24" i="4"/>
  <c r="AW10" i="4" s="1"/>
  <c r="AF35" i="4"/>
  <c r="CK35" i="4"/>
  <c r="BT35" i="4"/>
  <c r="BN35" i="4"/>
  <c r="CM35" i="4" s="1"/>
  <c r="CN36" i="4"/>
  <c r="AK36" i="4"/>
  <c r="AF36" i="4"/>
  <c r="CK36" i="4"/>
  <c r="BT36" i="4"/>
  <c r="BJ36" i="4"/>
  <c r="CM36" i="4" s="1"/>
  <c r="CP37" i="4"/>
  <c r="BE37" i="4"/>
  <c r="CN37" i="4"/>
  <c r="AH37" i="4"/>
  <c r="CQ37" i="4" s="1"/>
  <c r="Q38" i="4"/>
  <c r="AZ38" i="4"/>
  <c r="BB38" i="4" s="1"/>
  <c r="AT38" i="4"/>
  <c r="BT38" i="4"/>
  <c r="CK38" i="4"/>
  <c r="BW39" i="4"/>
  <c r="CA39" i="4" s="1"/>
  <c r="CD39" i="4" s="1"/>
  <c r="CO41" i="4"/>
  <c r="BD41" i="4"/>
  <c r="CA41" i="4"/>
  <c r="R42" i="4"/>
  <c r="CO42" i="4"/>
  <c r="AH42" i="4"/>
  <c r="CO43" i="4"/>
  <c r="CB43" i="4"/>
  <c r="CD43" i="4" s="1"/>
  <c r="AI44" i="4"/>
  <c r="CA44" i="4" s="1"/>
  <c r="CP45" i="4"/>
  <c r="AI45" i="4"/>
  <c r="BC45" i="4" s="1"/>
  <c r="BY45" i="4"/>
  <c r="CC45" i="4" s="1"/>
  <c r="AI46" i="4"/>
  <c r="BC46" i="4" s="1"/>
  <c r="AI47" i="4"/>
  <c r="BC47" i="4" s="1"/>
  <c r="BX47" i="4"/>
  <c r="AL48" i="4"/>
  <c r="V49" i="4"/>
  <c r="S40" i="4"/>
  <c r="S34" i="4" s="1"/>
  <c r="AE49" i="4"/>
  <c r="BU49" i="4"/>
  <c r="Q50" i="4"/>
  <c r="AK50" i="4" s="1"/>
  <c r="AZ50" i="4"/>
  <c r="BB50" i="4" s="1"/>
  <c r="AT50" i="4"/>
  <c r="AR49" i="4"/>
  <c r="AZ49" i="4" s="1"/>
  <c r="J51" i="4"/>
  <c r="H49" i="4"/>
  <c r="CN51" i="4"/>
  <c r="AD51" i="4"/>
  <c r="AB49" i="4"/>
  <c r="CN53" i="4"/>
  <c r="AL53" i="4"/>
  <c r="BY53" i="4"/>
  <c r="BS52" i="4"/>
  <c r="AK56" i="4"/>
  <c r="BE56" i="4" s="1"/>
  <c r="CA56" i="4"/>
  <c r="AJ58" i="4"/>
  <c r="BV59" i="4"/>
  <c r="R60" i="4"/>
  <c r="CO60" i="4"/>
  <c r="AK60" i="4"/>
  <c r="BE60" i="4" s="1"/>
  <c r="AJ62" i="4"/>
  <c r="CC62" i="4"/>
  <c r="CP63" i="4"/>
  <c r="BV63" i="4"/>
  <c r="AG64" i="4"/>
  <c r="AZ65" i="4"/>
  <c r="AX65" i="4"/>
  <c r="AX64" i="4" s="1"/>
  <c r="AV64" i="4"/>
  <c r="CM65" i="4"/>
  <c r="J64" i="4"/>
  <c r="Q64" i="4"/>
  <c r="CP66" i="4"/>
  <c r="AL66" i="4"/>
  <c r="AT64" i="4"/>
  <c r="CC67" i="4"/>
  <c r="BW68" i="4"/>
  <c r="CA68" i="4" s="1"/>
  <c r="BZ72" i="4"/>
  <c r="BZ80" i="4"/>
  <c r="CB80" i="4"/>
  <c r="BA35" i="4"/>
  <c r="BE35" i="4" s="1"/>
  <c r="CA35" i="4"/>
  <c r="CL35" i="4"/>
  <c r="CM41" i="4"/>
  <c r="BX41" i="4"/>
  <c r="AK42" i="4"/>
  <c r="CC42" i="4" s="1"/>
  <c r="BE42" i="4"/>
  <c r="BY43" i="4"/>
  <c r="CC43" i="4" s="1"/>
  <c r="CB44" i="4"/>
  <c r="CM46" i="4"/>
  <c r="BF48" i="4"/>
  <c r="CA48" i="4"/>
  <c r="CD48" i="4" s="1"/>
  <c r="N49" i="4"/>
  <c r="K40" i="4"/>
  <c r="BN49" i="4"/>
  <c r="BK40" i="4"/>
  <c r="BK34" i="4" s="1"/>
  <c r="AJ50" i="4"/>
  <c r="CK49" i="4"/>
  <c r="BE51" i="4"/>
  <c r="BE53" i="4"/>
  <c r="BF53" i="4"/>
  <c r="BW52" i="4"/>
  <c r="CJ52" i="4"/>
  <c r="R55" i="4"/>
  <c r="P52" i="4"/>
  <c r="CO55" i="4"/>
  <c r="BY56" i="4"/>
  <c r="CJ56" i="4"/>
  <c r="CN56" i="4" s="1"/>
  <c r="CN57" i="4"/>
  <c r="BD59" i="4"/>
  <c r="BF59" i="4" s="1"/>
  <c r="AL59" i="4"/>
  <c r="R61" i="4"/>
  <c r="CO61" i="4"/>
  <c r="BD63" i="4"/>
  <c r="BF63" i="4" s="1"/>
  <c r="AL63" i="4"/>
  <c r="R65" i="4"/>
  <c r="CO66" i="4"/>
  <c r="CM68" i="4"/>
  <c r="AC75" i="4"/>
  <c r="AC34" i="4" s="1"/>
  <c r="AG76" i="4"/>
  <c r="AG75" i="4" s="1"/>
  <c r="AL82" i="4"/>
  <c r="CP83" i="4"/>
  <c r="AK83" i="4"/>
  <c r="AH84" i="4"/>
  <c r="CN84" i="4"/>
  <c r="AI84" i="4"/>
  <c r="BR85" i="4"/>
  <c r="CK85" i="4"/>
  <c r="BP76" i="4"/>
  <c r="BT76" i="4" s="1"/>
  <c r="CP99" i="4"/>
  <c r="AP36" i="4"/>
  <c r="BU37" i="4"/>
  <c r="BY37" i="4" s="1"/>
  <c r="CC37" i="4" s="1"/>
  <c r="BU38" i="4"/>
  <c r="BY38" i="4" s="1"/>
  <c r="BV41" i="4"/>
  <c r="AX46" i="4"/>
  <c r="BV47" i="4"/>
  <c r="BE48" i="4"/>
  <c r="BV48" i="4"/>
  <c r="BN50" i="4"/>
  <c r="CM50" i="4" s="1"/>
  <c r="CM49" i="4" s="1"/>
  <c r="N51" i="4"/>
  <c r="AP51" i="4"/>
  <c r="BV53" i="4"/>
  <c r="R54" i="4"/>
  <c r="AH54" i="4"/>
  <c r="BX54" i="4"/>
  <c r="AH55" i="4"/>
  <c r="BX55" i="4"/>
  <c r="AF56" i="4"/>
  <c r="CL56" i="4"/>
  <c r="AH58" i="4"/>
  <c r="BX58" i="4"/>
  <c r="AH59" i="4"/>
  <c r="BX59" i="4"/>
  <c r="AH60" i="4"/>
  <c r="BX60" i="4"/>
  <c r="AH61" i="4"/>
  <c r="BX61" i="4"/>
  <c r="AH62" i="4"/>
  <c r="BX62" i="4"/>
  <c r="AH63" i="4"/>
  <c r="BX63" i="4"/>
  <c r="AH65" i="4"/>
  <c r="BU65" i="4"/>
  <c r="R67" i="4"/>
  <c r="CQ67" i="4" s="1"/>
  <c r="AI69" i="4"/>
  <c r="CP71" i="4"/>
  <c r="CA71" i="4"/>
  <c r="BZ71" i="4"/>
  <c r="AI72" i="4"/>
  <c r="R74" i="4"/>
  <c r="CO74" i="4"/>
  <c r="F76" i="4"/>
  <c r="D75" i="4"/>
  <c r="F75" i="4" s="1"/>
  <c r="P76" i="4"/>
  <c r="AF76" i="4"/>
  <c r="Z76" i="4"/>
  <c r="X75" i="4"/>
  <c r="CP77" i="4"/>
  <c r="AL78" i="4"/>
  <c r="AJ79" i="4"/>
  <c r="R79" i="4"/>
  <c r="AK81" i="4"/>
  <c r="BE81" i="4" s="1"/>
  <c r="BX81" i="4"/>
  <c r="CN83" i="4"/>
  <c r="R83" i="4"/>
  <c r="CP84" i="4"/>
  <c r="R85" i="4"/>
  <c r="CP85" i="4"/>
  <c r="AK85" i="4"/>
  <c r="BE85" i="4" s="1"/>
  <c r="AC95" i="4"/>
  <c r="AH96" i="4"/>
  <c r="AI96" i="4"/>
  <c r="AL96" i="4" s="1"/>
  <c r="AH99" i="4"/>
  <c r="AJ99" i="4"/>
  <c r="CN67" i="4"/>
  <c r="CM69" i="4"/>
  <c r="R70" i="4"/>
  <c r="CO70" i="4"/>
  <c r="CP74" i="4"/>
  <c r="BZ74" i="4"/>
  <c r="BU76" i="4"/>
  <c r="BI75" i="4"/>
  <c r="BI34" i="4" s="1"/>
  <c r="AJ77" i="4"/>
  <c r="CC77" i="4"/>
  <c r="CO78" i="4"/>
  <c r="BD78" i="4"/>
  <c r="CC79" i="4"/>
  <c r="CN80" i="4"/>
  <c r="BB80" i="4"/>
  <c r="BW81" i="4"/>
  <c r="AK82" i="4"/>
  <c r="BE82" i="4" s="1"/>
  <c r="AI83" i="4"/>
  <c r="AK84" i="4"/>
  <c r="BE84" i="4" s="1"/>
  <c r="BT85" i="4"/>
  <c r="BE99" i="4"/>
  <c r="CA105" i="4"/>
  <c r="BE44" i="4"/>
  <c r="BY71" i="4"/>
  <c r="CA72" i="4"/>
  <c r="CQ73" i="4"/>
  <c r="CM78" i="4"/>
  <c r="BZ79" i="4"/>
  <c r="CN81" i="4"/>
  <c r="BB81" i="4"/>
  <c r="CQ81" i="4" s="1"/>
  <c r="CO82" i="4"/>
  <c r="CM82" i="4"/>
  <c r="BX82" i="4"/>
  <c r="BD83" i="4"/>
  <c r="BW83" i="4"/>
  <c r="BY84" i="4"/>
  <c r="CC84" i="4" s="1"/>
  <c r="AT85" i="4"/>
  <c r="AR76" i="4"/>
  <c r="BR86" i="4"/>
  <c r="CM86" i="4" s="1"/>
  <c r="BT86" i="4"/>
  <c r="CC87" i="4"/>
  <c r="AH89" i="4"/>
  <c r="AJ89" i="4"/>
  <c r="CB89" i="4" s="1"/>
  <c r="CD89" i="4" s="1"/>
  <c r="BY96" i="4"/>
  <c r="CO98" i="4"/>
  <c r="R98" i="4"/>
  <c r="AB95" i="4"/>
  <c r="AD95" i="4" s="1"/>
  <c r="AD100" i="4"/>
  <c r="BD103" i="4"/>
  <c r="P104" i="4"/>
  <c r="L102" i="4"/>
  <c r="N104" i="4"/>
  <c r="AH70" i="4"/>
  <c r="BX70" i="4"/>
  <c r="P71" i="4"/>
  <c r="AK71" i="4"/>
  <c r="BE71" i="4" s="1"/>
  <c r="BV72" i="4"/>
  <c r="AJ73" i="4"/>
  <c r="CB73" i="4" s="1"/>
  <c r="CO73" i="4"/>
  <c r="AH74" i="4"/>
  <c r="BA76" i="4"/>
  <c r="BA75" i="4" s="1"/>
  <c r="BJ76" i="4"/>
  <c r="AH77" i="4"/>
  <c r="BT78" i="4"/>
  <c r="AI79" i="4"/>
  <c r="R82" i="4"/>
  <c r="BV82" i="4"/>
  <c r="AH83" i="4"/>
  <c r="R84" i="4"/>
  <c r="CM85" i="4"/>
  <c r="BB86" i="4"/>
  <c r="BW87" i="4"/>
  <c r="CA87" i="4" s="1"/>
  <c r="BZ89" i="4"/>
  <c r="R90" i="4"/>
  <c r="CO90" i="4"/>
  <c r="AL92" i="4"/>
  <c r="CN96" i="4"/>
  <c r="H95" i="4"/>
  <c r="J97" i="4"/>
  <c r="AF97" i="4"/>
  <c r="Z97" i="4"/>
  <c r="CA98" i="4"/>
  <c r="R99" i="4"/>
  <c r="CN99" i="4"/>
  <c r="CA99" i="4"/>
  <c r="BZ99" i="4"/>
  <c r="CJ102" i="4"/>
  <c r="R105" i="4"/>
  <c r="CO105" i="4"/>
  <c r="AJ105" i="4"/>
  <c r="BC109" i="4"/>
  <c r="BF109" i="4" s="1"/>
  <c r="Q113" i="4"/>
  <c r="E108" i="4"/>
  <c r="E95" i="4" s="1"/>
  <c r="AF114" i="4"/>
  <c r="Z114" i="4"/>
  <c r="X113" i="4"/>
  <c r="CL114" i="4"/>
  <c r="CL113" i="4" s="1"/>
  <c r="BI113" i="4"/>
  <c r="BU114" i="4"/>
  <c r="BY114" i="4" s="1"/>
  <c r="CP119" i="4"/>
  <c r="M75" i="4"/>
  <c r="M34" i="4" s="1"/>
  <c r="BU78" i="4"/>
  <c r="BY78" i="4" s="1"/>
  <c r="CC78" i="4" s="1"/>
  <c r="CN86" i="4"/>
  <c r="AI86" i="4"/>
  <c r="BW86" i="4"/>
  <c r="CK86" i="4"/>
  <c r="CO86" i="4" s="1"/>
  <c r="BB87" i="4"/>
  <c r="CQ87" i="4" s="1"/>
  <c r="BX87" i="4"/>
  <c r="CO87" i="4"/>
  <c r="R89" i="4"/>
  <c r="CO89" i="4"/>
  <c r="BY89" i="4"/>
  <c r="CC89" i="4" s="1"/>
  <c r="BZ90" i="4"/>
  <c r="CB90" i="4"/>
  <c r="CD90" i="4" s="1"/>
  <c r="R91" i="4"/>
  <c r="AK91" i="4"/>
  <c r="CA93" i="4"/>
  <c r="BC94" i="4"/>
  <c r="BD96" i="4"/>
  <c r="AV95" i="4"/>
  <c r="AX95" i="4" s="1"/>
  <c r="AX97" i="4"/>
  <c r="AJ98" i="4"/>
  <c r="CB98" i="4" s="1"/>
  <c r="CO99" i="4"/>
  <c r="CB99" i="4"/>
  <c r="CD99" i="4" s="1"/>
  <c r="AI101" i="4"/>
  <c r="AI103" i="4"/>
  <c r="CA103" i="4" s="1"/>
  <c r="CA102" i="4" s="1"/>
  <c r="BY103" i="4"/>
  <c r="CK104" i="4"/>
  <c r="CK102" i="4" s="1"/>
  <c r="BT104" i="4"/>
  <c r="BN104" i="4"/>
  <c r="CM104" i="4" s="1"/>
  <c r="BL102" i="4"/>
  <c r="CC107" i="4"/>
  <c r="R72" i="4"/>
  <c r="AJ86" i="4"/>
  <c r="CO88" i="4"/>
  <c r="R88" i="4"/>
  <c r="BD90" i="4"/>
  <c r="BF90" i="4" s="1"/>
  <c r="AL90" i="4"/>
  <c r="CA92" i="4"/>
  <c r="CM96" i="4"/>
  <c r="BX96" i="4"/>
  <c r="CO97" i="4"/>
  <c r="R97" i="4"/>
  <c r="BY99" i="4"/>
  <c r="CC99" i="4" s="1"/>
  <c r="R101" i="4"/>
  <c r="CN101" i="4"/>
  <c r="AJ101" i="4"/>
  <c r="BB101" i="4"/>
  <c r="AZ100" i="4"/>
  <c r="CA101" i="4"/>
  <c r="CO103" i="4"/>
  <c r="AH103" i="4"/>
  <c r="T102" i="4"/>
  <c r="AF104" i="4"/>
  <c r="AF102" i="4" s="1"/>
  <c r="AH102" i="4" s="1"/>
  <c r="V104" i="4"/>
  <c r="AJ106" i="4"/>
  <c r="BD106" i="4" s="1"/>
  <c r="CO106" i="4"/>
  <c r="F108" i="4"/>
  <c r="F95" i="4" s="1"/>
  <c r="D95" i="4"/>
  <c r="BV111" i="4"/>
  <c r="BX111" i="4"/>
  <c r="BV113" i="4"/>
  <c r="BX113" i="4"/>
  <c r="AL116" i="4"/>
  <c r="BD116" i="4"/>
  <c r="AH90" i="4"/>
  <c r="AH91" i="4"/>
  <c r="BV96" i="4"/>
  <c r="N97" i="4"/>
  <c r="BJ97" i="4"/>
  <c r="CM97" i="4" s="1"/>
  <c r="BT97" i="4"/>
  <c r="AH98" i="4"/>
  <c r="BS100" i="4"/>
  <c r="BW100" i="4" s="1"/>
  <c r="AE102" i="4"/>
  <c r="AE100" i="4" s="1"/>
  <c r="BB103" i="4"/>
  <c r="AK104" i="4"/>
  <c r="CC104" i="4" s="1"/>
  <c r="CP105" i="4"/>
  <c r="AI105" i="4"/>
  <c r="BC105" i="4" s="1"/>
  <c r="BD107" i="4"/>
  <c r="BF107" i="4" s="1"/>
  <c r="BW107" i="4"/>
  <c r="CA107" i="4" s="1"/>
  <c r="AH109" i="4"/>
  <c r="AL110" i="4"/>
  <c r="BW116" i="4"/>
  <c r="CA116" i="4" s="1"/>
  <c r="BY117" i="4"/>
  <c r="CC117" i="4" s="1"/>
  <c r="AP120" i="4"/>
  <c r="AZ120" i="4"/>
  <c r="BB120" i="4" s="1"/>
  <c r="AN108" i="4"/>
  <c r="BH100" i="4"/>
  <c r="Z101" i="4"/>
  <c r="BT101" i="4"/>
  <c r="CM103" i="4"/>
  <c r="CN104" i="4"/>
  <c r="CB105" i="4"/>
  <c r="CM107" i="4"/>
  <c r="BV107" i="4"/>
  <c r="BX107" i="4"/>
  <c r="CO107" i="4"/>
  <c r="CO110" i="4"/>
  <c r="BB111" i="4"/>
  <c r="CO111" i="4"/>
  <c r="CP111" i="4"/>
  <c r="CP114" i="4"/>
  <c r="CA117" i="4"/>
  <c r="BC117" i="4"/>
  <c r="BY119" i="4"/>
  <c r="CC119" i="4" s="1"/>
  <c r="BV121" i="4"/>
  <c r="BX121" i="4"/>
  <c r="BU98" i="4"/>
  <c r="BY98" i="4" s="1"/>
  <c r="CC98" i="4" s="1"/>
  <c r="BU100" i="4"/>
  <c r="BY100" i="4" s="1"/>
  <c r="AK101" i="4"/>
  <c r="BY105" i="4"/>
  <c r="CC105" i="4" s="1"/>
  <c r="CN110" i="4"/>
  <c r="CB110" i="4"/>
  <c r="BC116" i="4"/>
  <c r="BU118" i="4"/>
  <c r="BY118" i="4" s="1"/>
  <c r="CC118" i="4" s="1"/>
  <c r="CL118" i="4"/>
  <c r="CP118" i="4" s="1"/>
  <c r="BV118" i="4"/>
  <c r="BX118" i="4"/>
  <c r="AL120" i="4"/>
  <c r="BD120" i="4"/>
  <c r="BF120" i="4" s="1"/>
  <c r="BY106" i="4"/>
  <c r="CC106" i="4" s="1"/>
  <c r="CQ107" i="4"/>
  <c r="CN109" i="4"/>
  <c r="AY108" i="4"/>
  <c r="AY95" i="4" s="1"/>
  <c r="BW109" i="4"/>
  <c r="CA109" i="4" s="1"/>
  <c r="AK110" i="4"/>
  <c r="BE110" i="4" s="1"/>
  <c r="BB110" i="4"/>
  <c r="CM110" i="4"/>
  <c r="CQ110" i="4" s="1"/>
  <c r="AH111" i="4"/>
  <c r="CQ111" i="4" s="1"/>
  <c r="BX112" i="4"/>
  <c r="CM114" i="4"/>
  <c r="BX114" i="4"/>
  <c r="CN115" i="4"/>
  <c r="AL115" i="4"/>
  <c r="BW115" i="4"/>
  <c r="CA115" i="4" s="1"/>
  <c r="CO116" i="4"/>
  <c r="AK116" i="4"/>
  <c r="BE116" i="4" s="1"/>
  <c r="BB116" i="4"/>
  <c r="CM116" i="4"/>
  <c r="CP117" i="4"/>
  <c r="P119" i="4"/>
  <c r="J119" i="4"/>
  <c r="AI119" i="4"/>
  <c r="BC119" i="4" s="1"/>
  <c r="BY120" i="4"/>
  <c r="CC120" i="4" s="1"/>
  <c r="CN121" i="4"/>
  <c r="BB121" i="4"/>
  <c r="CQ121" i="4" s="1"/>
  <c r="CO121" i="4"/>
  <c r="AK109" i="4"/>
  <c r="CC109" i="4" s="1"/>
  <c r="CM109" i="4"/>
  <c r="AH110" i="4"/>
  <c r="BW112" i="4"/>
  <c r="CA112" i="4" s="1"/>
  <c r="AK114" i="4"/>
  <c r="AK115" i="4"/>
  <c r="BE115" i="4" s="1"/>
  <c r="CM115" i="4"/>
  <c r="CQ115" i="4" s="1"/>
  <c r="AH116" i="4"/>
  <c r="R117" i="4"/>
  <c r="AJ117" i="4"/>
  <c r="AJ119" i="4"/>
  <c r="AP119" i="4"/>
  <c r="AZ119" i="4"/>
  <c r="BB119" i="4" s="1"/>
  <c r="AH120" i="4"/>
  <c r="CC121" i="4"/>
  <c r="AI122" i="4"/>
  <c r="BC122" i="4" s="1"/>
  <c r="BD130" i="4"/>
  <c r="BF130" i="4" s="1"/>
  <c r="AL130" i="4"/>
  <c r="BW111" i="4"/>
  <c r="CA111" i="4" s="1"/>
  <c r="AK112" i="4"/>
  <c r="BE112" i="4" s="1"/>
  <c r="CM112" i="4"/>
  <c r="P113" i="4"/>
  <c r="BB113" i="4"/>
  <c r="BW113" i="4"/>
  <c r="AE113" i="4"/>
  <c r="AE108" i="4" s="1"/>
  <c r="CO115" i="4"/>
  <c r="BZ116" i="4"/>
  <c r="CK117" i="4"/>
  <c r="BN117" i="4"/>
  <c r="CM117" i="4" s="1"/>
  <c r="AJ118" i="4"/>
  <c r="AK118" i="4"/>
  <c r="BE118" i="4" s="1"/>
  <c r="BN119" i="4"/>
  <c r="CM119" i="4" s="1"/>
  <c r="BT119" i="4"/>
  <c r="CQ120" i="4"/>
  <c r="BW121" i="4"/>
  <c r="AH122" i="4"/>
  <c r="R124" i="4"/>
  <c r="CO124" i="4"/>
  <c r="BV124" i="4"/>
  <c r="BX124" i="4"/>
  <c r="BZ125" i="4"/>
  <c r="BV123" i="4"/>
  <c r="AK124" i="4"/>
  <c r="BE124" i="4" s="1"/>
  <c r="R127" i="4"/>
  <c r="CO127" i="4"/>
  <c r="CA127" i="4"/>
  <c r="R128" i="4"/>
  <c r="CO128" i="4"/>
  <c r="BV128" i="4"/>
  <c r="BW128" i="4"/>
  <c r="CA128" i="4" s="1"/>
  <c r="R129" i="4"/>
  <c r="CO129" i="4"/>
  <c r="BW133" i="4"/>
  <c r="CA133" i="4" s="1"/>
  <c r="CN116" i="4"/>
  <c r="CO117" i="4"/>
  <c r="CN118" i="4"/>
  <c r="BW119" i="4"/>
  <c r="CN120" i="4"/>
  <c r="CA120" i="4"/>
  <c r="P122" i="4"/>
  <c r="AJ122" i="4" s="1"/>
  <c r="J122" i="4"/>
  <c r="BB122" i="4"/>
  <c r="BV122" i="4"/>
  <c r="CP123" i="4"/>
  <c r="AJ124" i="4"/>
  <c r="AJ127" i="4"/>
  <c r="CC130" i="4"/>
  <c r="BD131" i="4"/>
  <c r="BF131" i="4" s="1"/>
  <c r="AL131" i="4"/>
  <c r="BX117" i="4"/>
  <c r="BB117" i="4"/>
  <c r="CO120" i="4"/>
  <c r="AK120" i="4"/>
  <c r="BX120" i="4"/>
  <c r="CC122" i="4"/>
  <c r="AJ123" i="4"/>
  <c r="CO123" i="4"/>
  <c r="CN124" i="4"/>
  <c r="CC126" i="4"/>
  <c r="CB127" i="4"/>
  <c r="AJ128" i="4"/>
  <c r="CC128" i="4"/>
  <c r="CP129" i="4"/>
  <c r="R130" i="4"/>
  <c r="CQ130" i="4" s="1"/>
  <c r="CO130" i="4"/>
  <c r="AJ125" i="4"/>
  <c r="CB125" i="4" s="1"/>
  <c r="CC125" i="4"/>
  <c r="CP127" i="4"/>
  <c r="AJ129" i="4"/>
  <c r="CC129" i="4"/>
  <c r="CP130" i="4"/>
  <c r="BZ130" i="4"/>
  <c r="CB130" i="4"/>
  <c r="CD130" i="4" s="1"/>
  <c r="CO131" i="4"/>
  <c r="R131" i="4"/>
  <c r="AH127" i="4"/>
  <c r="AH128" i="4"/>
  <c r="AH129" i="4"/>
  <c r="AH130" i="4"/>
  <c r="AH131" i="4"/>
  <c r="BS131" i="4"/>
  <c r="BV133" i="4"/>
  <c r="BX105" i="3"/>
  <c r="BD105" i="3"/>
  <c r="CC2" i="3"/>
  <c r="I22" i="3"/>
  <c r="I21" i="3"/>
  <c r="BY137" i="3"/>
  <c r="BU137" i="3"/>
  <c r="AK137" i="3"/>
  <c r="BY136" i="3"/>
  <c r="CC136" i="3" s="1"/>
  <c r="BU136" i="3"/>
  <c r="BU135" i="3"/>
  <c r="BY135" i="3" s="1"/>
  <c r="CC135" i="3" s="1"/>
  <c r="BA135" i="3"/>
  <c r="AK135" i="3"/>
  <c r="BU134" i="3"/>
  <c r="BA134" i="3"/>
  <c r="AG134" i="3"/>
  <c r="Q134" i="3"/>
  <c r="BA133" i="3"/>
  <c r="BE133" i="3" s="1"/>
  <c r="Y133" i="3"/>
  <c r="U133" i="3"/>
  <c r="Q133" i="3"/>
  <c r="E133" i="3"/>
  <c r="BV132" i="3"/>
  <c r="BT132" i="3"/>
  <c r="BX132" i="3" s="1"/>
  <c r="BS132" i="3"/>
  <c r="BR132" i="3"/>
  <c r="BN132" i="3"/>
  <c r="BJ132" i="3"/>
  <c r="AZ132" i="3"/>
  <c r="AY132" i="3"/>
  <c r="AI132" i="3"/>
  <c r="AE132" i="3"/>
  <c r="R132" i="3"/>
  <c r="CL130" i="3"/>
  <c r="CK130" i="3"/>
  <c r="CJ130" i="3"/>
  <c r="CN130" i="3" s="1"/>
  <c r="BW130" i="3"/>
  <c r="CA130" i="3" s="1"/>
  <c r="BU130" i="3"/>
  <c r="BY130" i="3" s="1"/>
  <c r="BT130" i="3"/>
  <c r="BX130" i="3" s="1"/>
  <c r="BS130" i="3"/>
  <c r="BV130" i="3" s="1"/>
  <c r="BR130" i="3"/>
  <c r="BO130" i="3"/>
  <c r="BN130" i="3"/>
  <c r="BJ130" i="3"/>
  <c r="CM130" i="3" s="1"/>
  <c r="BB130" i="3"/>
  <c r="BA130" i="3"/>
  <c r="AZ130" i="3"/>
  <c r="AY130" i="3"/>
  <c r="AX130" i="3"/>
  <c r="AT130" i="3"/>
  <c r="AP130" i="3"/>
  <c r="AH130" i="3"/>
  <c r="AG130" i="3"/>
  <c r="AF130" i="3"/>
  <c r="AE130" i="3"/>
  <c r="AI130" i="3" s="1"/>
  <c r="BC130" i="3" s="1"/>
  <c r="AD130" i="3"/>
  <c r="Z130" i="3"/>
  <c r="V130" i="3"/>
  <c r="Q130" i="3"/>
  <c r="CP130" i="3" s="1"/>
  <c r="P130" i="3"/>
  <c r="O130" i="3"/>
  <c r="N130" i="3"/>
  <c r="J130" i="3"/>
  <c r="F130" i="3"/>
  <c r="CL129" i="3"/>
  <c r="CK129" i="3"/>
  <c r="CJ129" i="3"/>
  <c r="BX129" i="3"/>
  <c r="BU129" i="3"/>
  <c r="BY129" i="3" s="1"/>
  <c r="BT129" i="3"/>
  <c r="BS129" i="3"/>
  <c r="BW129" i="3" s="1"/>
  <c r="CA129" i="3" s="1"/>
  <c r="BR129" i="3"/>
  <c r="BN129" i="3"/>
  <c r="BJ129" i="3"/>
  <c r="CM129" i="3" s="1"/>
  <c r="BA129" i="3"/>
  <c r="AZ129" i="3"/>
  <c r="AY129" i="3"/>
  <c r="BC129" i="3" s="1"/>
  <c r="AX129" i="3"/>
  <c r="AT129" i="3"/>
  <c r="AP129" i="3"/>
  <c r="AH129" i="3"/>
  <c r="AG129" i="3"/>
  <c r="AK129" i="3" s="1"/>
  <c r="BE129" i="3" s="1"/>
  <c r="AF129" i="3"/>
  <c r="AE129" i="3"/>
  <c r="AI129" i="3" s="1"/>
  <c r="AD129" i="3"/>
  <c r="Z129" i="3"/>
  <c r="V129" i="3"/>
  <c r="Q129" i="3"/>
  <c r="P129" i="3"/>
  <c r="O129" i="3"/>
  <c r="N129" i="3"/>
  <c r="J129" i="3"/>
  <c r="F129" i="3"/>
  <c r="CO128" i="3"/>
  <c r="CL128" i="3"/>
  <c r="CK128" i="3"/>
  <c r="CJ128" i="3"/>
  <c r="BX128" i="3"/>
  <c r="BW128" i="3"/>
  <c r="CA128" i="3" s="1"/>
  <c r="BU128" i="3"/>
  <c r="BY128" i="3" s="1"/>
  <c r="BT128" i="3"/>
  <c r="BS128" i="3"/>
  <c r="BR128" i="3"/>
  <c r="BN128" i="3"/>
  <c r="BJ128" i="3"/>
  <c r="CM128" i="3" s="1"/>
  <c r="BC128" i="3"/>
  <c r="BF128" i="3" s="1"/>
  <c r="BA128" i="3"/>
  <c r="AZ128" i="3"/>
  <c r="AY128" i="3"/>
  <c r="AX128" i="3"/>
  <c r="AT128" i="3"/>
  <c r="AP128" i="3"/>
  <c r="AL128" i="3"/>
  <c r="AH128" i="3"/>
  <c r="AG128" i="3"/>
  <c r="AK128" i="3" s="1"/>
  <c r="BE128" i="3" s="1"/>
  <c r="AF128" i="3"/>
  <c r="AJ128" i="3" s="1"/>
  <c r="BD128" i="3" s="1"/>
  <c r="AE128" i="3"/>
  <c r="AI128" i="3" s="1"/>
  <c r="AD128" i="3"/>
  <c r="Z128" i="3"/>
  <c r="V128" i="3"/>
  <c r="Q128" i="3"/>
  <c r="P128" i="3"/>
  <c r="R128" i="3" s="1"/>
  <c r="O128" i="3"/>
  <c r="N128" i="3"/>
  <c r="J128" i="3"/>
  <c r="F128" i="3"/>
  <c r="CO127" i="3"/>
  <c r="CL127" i="3"/>
  <c r="CK127" i="3"/>
  <c r="CJ127" i="3"/>
  <c r="BW127" i="3"/>
  <c r="CA127" i="3" s="1"/>
  <c r="BU127" i="3"/>
  <c r="BY127" i="3" s="1"/>
  <c r="BT127" i="3"/>
  <c r="BV127" i="3" s="1"/>
  <c r="BS127" i="3"/>
  <c r="BR127" i="3"/>
  <c r="BN127" i="3"/>
  <c r="BJ127" i="3"/>
  <c r="CM127" i="3" s="1"/>
  <c r="BB127" i="3"/>
  <c r="BA127" i="3"/>
  <c r="AZ127" i="3"/>
  <c r="AY127" i="3"/>
  <c r="CN127" i="3" s="1"/>
  <c r="AX127" i="3"/>
  <c r="AT127" i="3"/>
  <c r="AP127" i="3"/>
  <c r="AH127" i="3"/>
  <c r="AG127" i="3"/>
  <c r="AF127" i="3"/>
  <c r="AJ127" i="3" s="1"/>
  <c r="BD127" i="3" s="1"/>
  <c r="AE127" i="3"/>
  <c r="AI127" i="3" s="1"/>
  <c r="BC127" i="3" s="1"/>
  <c r="AD127" i="3"/>
  <c r="Z127" i="3"/>
  <c r="V127" i="3"/>
  <c r="Q127" i="3"/>
  <c r="CP127" i="3" s="1"/>
  <c r="P127" i="3"/>
  <c r="R127" i="3" s="1"/>
  <c r="O127" i="3"/>
  <c r="N127" i="3"/>
  <c r="J127" i="3"/>
  <c r="F127" i="3"/>
  <c r="CN126" i="3"/>
  <c r="CL126" i="3"/>
  <c r="CK126" i="3"/>
  <c r="CJ126" i="3"/>
  <c r="BU126" i="3"/>
  <c r="BY126" i="3" s="1"/>
  <c r="BT126" i="3"/>
  <c r="BS126" i="3"/>
  <c r="BW126" i="3" s="1"/>
  <c r="CA126" i="3" s="1"/>
  <c r="BR126" i="3"/>
  <c r="BN126" i="3"/>
  <c r="BJ126" i="3"/>
  <c r="CM126" i="3" s="1"/>
  <c r="BB126" i="3"/>
  <c r="BA126" i="3"/>
  <c r="AZ126" i="3"/>
  <c r="AY126" i="3"/>
  <c r="AX126" i="3"/>
  <c r="AT126" i="3"/>
  <c r="AP126" i="3"/>
  <c r="AH126" i="3"/>
  <c r="AG126" i="3"/>
  <c r="AF126" i="3"/>
  <c r="AE126" i="3"/>
  <c r="AI126" i="3" s="1"/>
  <c r="BC126" i="3" s="1"/>
  <c r="AD126" i="3"/>
  <c r="Z126" i="3"/>
  <c r="V126" i="3"/>
  <c r="Q126" i="3"/>
  <c r="CP126" i="3" s="1"/>
  <c r="P126" i="3"/>
  <c r="O126" i="3"/>
  <c r="N126" i="3"/>
  <c r="J126" i="3"/>
  <c r="F126" i="3"/>
  <c r="E126" i="3"/>
  <c r="CO125" i="3"/>
  <c r="CL125" i="3"/>
  <c r="CK125" i="3"/>
  <c r="CJ125" i="3"/>
  <c r="BU125" i="3"/>
  <c r="BY125" i="3" s="1"/>
  <c r="BT125" i="3"/>
  <c r="BS125" i="3"/>
  <c r="BR125" i="3"/>
  <c r="BN125" i="3"/>
  <c r="BJ125" i="3"/>
  <c r="BA125" i="3"/>
  <c r="AZ125" i="3"/>
  <c r="BB125" i="3" s="1"/>
  <c r="AY125" i="3"/>
  <c r="AX125" i="3"/>
  <c r="AT125" i="3"/>
  <c r="AP125" i="3"/>
  <c r="AH125" i="3"/>
  <c r="AG125" i="3"/>
  <c r="AF125" i="3"/>
  <c r="AJ125" i="3" s="1"/>
  <c r="BD125" i="3" s="1"/>
  <c r="BF125" i="3" s="1"/>
  <c r="AE125" i="3"/>
  <c r="AI125" i="3" s="1"/>
  <c r="BC125" i="3" s="1"/>
  <c r="AD125" i="3"/>
  <c r="Z125" i="3"/>
  <c r="V125" i="3"/>
  <c r="R125" i="3"/>
  <c r="Q125" i="3"/>
  <c r="P125" i="3"/>
  <c r="O125" i="3"/>
  <c r="CN125" i="3" s="1"/>
  <c r="N125" i="3"/>
  <c r="J125" i="3"/>
  <c r="F125" i="3"/>
  <c r="CL124" i="3"/>
  <c r="CP124" i="3" s="1"/>
  <c r="CK124" i="3"/>
  <c r="CJ124" i="3"/>
  <c r="BY124" i="3"/>
  <c r="CC124" i="3" s="1"/>
  <c r="BU124" i="3"/>
  <c r="BT124" i="3"/>
  <c r="BS124" i="3"/>
  <c r="BR124" i="3"/>
  <c r="BN124" i="3"/>
  <c r="BJ124" i="3"/>
  <c r="CM124" i="3" s="1"/>
  <c r="BA124" i="3"/>
  <c r="AZ124" i="3"/>
  <c r="AY124" i="3"/>
  <c r="AX124" i="3"/>
  <c r="AT124" i="3"/>
  <c r="AP124" i="3"/>
  <c r="AG124" i="3"/>
  <c r="AK124" i="3" s="1"/>
  <c r="BE124" i="3" s="1"/>
  <c r="AF124" i="3"/>
  <c r="AJ124" i="3" s="1"/>
  <c r="AE124" i="3"/>
  <c r="AI124" i="3" s="1"/>
  <c r="BC124" i="3" s="1"/>
  <c r="AD124" i="3"/>
  <c r="Z124" i="3"/>
  <c r="V124" i="3"/>
  <c r="R124" i="3"/>
  <c r="Q124" i="3"/>
  <c r="P124" i="3"/>
  <c r="O124" i="3"/>
  <c r="CN124" i="3" s="1"/>
  <c r="N124" i="3"/>
  <c r="J124" i="3"/>
  <c r="F124" i="3"/>
  <c r="CL123" i="3"/>
  <c r="CK123" i="3"/>
  <c r="CJ123" i="3"/>
  <c r="BY123" i="3"/>
  <c r="BU123" i="3"/>
  <c r="BT123" i="3"/>
  <c r="BS123" i="3"/>
  <c r="BR123" i="3"/>
  <c r="BN123" i="3"/>
  <c r="BJ123" i="3"/>
  <c r="BB123" i="3"/>
  <c r="BA123" i="3"/>
  <c r="AZ123" i="3"/>
  <c r="AY123" i="3"/>
  <c r="AX123" i="3"/>
  <c r="AT123" i="3"/>
  <c r="AP123" i="3"/>
  <c r="AH123" i="3"/>
  <c r="AG123" i="3"/>
  <c r="AF123" i="3"/>
  <c r="AJ123" i="3" s="1"/>
  <c r="BD123" i="3" s="1"/>
  <c r="AE123" i="3"/>
  <c r="AI123" i="3" s="1"/>
  <c r="BC123" i="3" s="1"/>
  <c r="AD123" i="3"/>
  <c r="Z123" i="3"/>
  <c r="V123" i="3"/>
  <c r="Q123" i="3"/>
  <c r="CP123" i="3" s="1"/>
  <c r="P123" i="3"/>
  <c r="O123" i="3"/>
  <c r="N123" i="3"/>
  <c r="J123" i="3"/>
  <c r="F123" i="3"/>
  <c r="CN122" i="3"/>
  <c r="CL122" i="3"/>
  <c r="CK122" i="3"/>
  <c r="CJ122" i="3"/>
  <c r="BU122" i="3"/>
  <c r="BY122" i="3" s="1"/>
  <c r="BT122" i="3"/>
  <c r="BS122" i="3"/>
  <c r="BR122" i="3"/>
  <c r="BN122" i="3"/>
  <c r="BJ122" i="3"/>
  <c r="CM122" i="3" s="1"/>
  <c r="BB122" i="3"/>
  <c r="BA122" i="3"/>
  <c r="AZ122" i="3"/>
  <c r="AY122" i="3"/>
  <c r="BW122" i="3" s="1"/>
  <c r="AX122" i="3"/>
  <c r="AT122" i="3"/>
  <c r="AP122" i="3"/>
  <c r="AH122" i="3"/>
  <c r="AG122" i="3"/>
  <c r="AF122" i="3"/>
  <c r="AE122" i="3"/>
  <c r="AI122" i="3" s="1"/>
  <c r="BC122" i="3" s="1"/>
  <c r="AD122" i="3"/>
  <c r="Z122" i="3"/>
  <c r="V122" i="3"/>
  <c r="Q122" i="3"/>
  <c r="CP122" i="3" s="1"/>
  <c r="P122" i="3"/>
  <c r="O122" i="3"/>
  <c r="N122" i="3"/>
  <c r="J122" i="3"/>
  <c r="F122" i="3"/>
  <c r="CL121" i="3"/>
  <c r="CK121" i="3"/>
  <c r="CJ121" i="3"/>
  <c r="BU121" i="3"/>
  <c r="BY121" i="3" s="1"/>
  <c r="BT121" i="3"/>
  <c r="BS121" i="3"/>
  <c r="BR121" i="3"/>
  <c r="BL121" i="3"/>
  <c r="BN121" i="3" s="1"/>
  <c r="BJ121" i="3"/>
  <c r="CM121" i="3" s="1"/>
  <c r="BA121" i="3"/>
  <c r="AZ121" i="3"/>
  <c r="AY121" i="3"/>
  <c r="AX121" i="3"/>
  <c r="AR121" i="3"/>
  <c r="AT121" i="3" s="1"/>
  <c r="AP121" i="3"/>
  <c r="AN121" i="3"/>
  <c r="AG121" i="3"/>
  <c r="AK121" i="3" s="1"/>
  <c r="BE121" i="3" s="1"/>
  <c r="AF121" i="3"/>
  <c r="AE121" i="3"/>
  <c r="AB121" i="3"/>
  <c r="AD121" i="3" s="1"/>
  <c r="Z121" i="3"/>
  <c r="X121" i="3"/>
  <c r="T121" i="3"/>
  <c r="V121" i="3" s="1"/>
  <c r="Q121" i="3"/>
  <c r="CP121" i="3" s="1"/>
  <c r="O121" i="3"/>
  <c r="N121" i="3"/>
  <c r="L121" i="3"/>
  <c r="H121" i="3"/>
  <c r="J121" i="3" s="1"/>
  <c r="F121" i="3"/>
  <c r="D121" i="3"/>
  <c r="CL120" i="3"/>
  <c r="CK120" i="3"/>
  <c r="CJ120" i="3"/>
  <c r="BU120" i="3"/>
  <c r="BY120" i="3" s="1"/>
  <c r="BT120" i="3"/>
  <c r="BS120" i="3"/>
  <c r="BR120" i="3"/>
  <c r="BN120" i="3"/>
  <c r="BJ120" i="3"/>
  <c r="BA120" i="3"/>
  <c r="AZ120" i="3"/>
  <c r="AY120" i="3"/>
  <c r="AX120" i="3"/>
  <c r="AT120" i="3"/>
  <c r="AP120" i="3"/>
  <c r="AH120" i="3"/>
  <c r="AG120" i="3"/>
  <c r="AF120" i="3"/>
  <c r="AJ120" i="3" s="1"/>
  <c r="AE120" i="3"/>
  <c r="CN120" i="3" s="1"/>
  <c r="AD120" i="3"/>
  <c r="Z120" i="3"/>
  <c r="V120" i="3"/>
  <c r="R120" i="3"/>
  <c r="Q120" i="3"/>
  <c r="CP120" i="3" s="1"/>
  <c r="P120" i="3"/>
  <c r="O120" i="3"/>
  <c r="N120" i="3"/>
  <c r="J120" i="3"/>
  <c r="F120" i="3"/>
  <c r="E120" i="3"/>
  <c r="CP119" i="3"/>
  <c r="CM119" i="3"/>
  <c r="CL119" i="3"/>
  <c r="CK119" i="3"/>
  <c r="CJ119" i="3"/>
  <c r="BV119" i="3"/>
  <c r="BU119" i="3"/>
  <c r="BT119" i="3"/>
  <c r="BS119" i="3"/>
  <c r="BW119" i="3" s="1"/>
  <c r="BR119" i="3"/>
  <c r="BN119" i="3"/>
  <c r="BJ119" i="3"/>
  <c r="AY119" i="3"/>
  <c r="AX119" i="3"/>
  <c r="AW119" i="3"/>
  <c r="BA119" i="3" s="1"/>
  <c r="BY119" i="3" s="1"/>
  <c r="CC119" i="3" s="1"/>
  <c r="AT119" i="3"/>
  <c r="AO119" i="3"/>
  <c r="AN119" i="3"/>
  <c r="AH119" i="3"/>
  <c r="AG119" i="3"/>
  <c r="AK119" i="3" s="1"/>
  <c r="BE119" i="3" s="1"/>
  <c r="AF119" i="3"/>
  <c r="AJ119" i="3" s="1"/>
  <c r="AL119" i="3" s="1"/>
  <c r="AE119" i="3"/>
  <c r="AI119" i="3" s="1"/>
  <c r="BC119" i="3" s="1"/>
  <c r="AD119" i="3"/>
  <c r="Z119" i="3"/>
  <c r="V119" i="3"/>
  <c r="R119" i="3"/>
  <c r="Q119" i="3"/>
  <c r="P119" i="3"/>
  <c r="O119" i="3"/>
  <c r="N119" i="3"/>
  <c r="J119" i="3"/>
  <c r="F119" i="3"/>
  <c r="CL118" i="3"/>
  <c r="CK118" i="3"/>
  <c r="CJ118" i="3"/>
  <c r="BY118" i="3"/>
  <c r="BU118" i="3"/>
  <c r="BS118" i="3"/>
  <c r="BQ118" i="3"/>
  <c r="BP118" i="3"/>
  <c r="BR118" i="3" s="1"/>
  <c r="BM118" i="3"/>
  <c r="BL118" i="3"/>
  <c r="BN118" i="3" s="1"/>
  <c r="BJ118" i="3"/>
  <c r="AY118" i="3"/>
  <c r="AX118" i="3"/>
  <c r="AW118" i="3"/>
  <c r="AV118" i="3"/>
  <c r="AT118" i="3"/>
  <c r="AP118" i="3"/>
  <c r="AO118" i="3"/>
  <c r="BA118" i="3" s="1"/>
  <c r="AN118" i="3"/>
  <c r="AZ118" i="3" s="1"/>
  <c r="AH118" i="3"/>
  <c r="AG118" i="3"/>
  <c r="AF118" i="3"/>
  <c r="AE118" i="3"/>
  <c r="AD118" i="3"/>
  <c r="Z118" i="3"/>
  <c r="V118" i="3"/>
  <c r="P118" i="3"/>
  <c r="O118" i="3"/>
  <c r="N118" i="3"/>
  <c r="J118" i="3"/>
  <c r="I118" i="3"/>
  <c r="H118" i="3"/>
  <c r="E118" i="3"/>
  <c r="D118" i="3"/>
  <c r="F118" i="3" s="1"/>
  <c r="CL117" i="3"/>
  <c r="CP117" i="3" s="1"/>
  <c r="CK117" i="3"/>
  <c r="CJ117" i="3"/>
  <c r="CA117" i="3"/>
  <c r="BW117" i="3"/>
  <c r="BU117" i="3"/>
  <c r="BS117" i="3"/>
  <c r="BR117" i="3"/>
  <c r="BN117" i="3"/>
  <c r="BM117" i="3"/>
  <c r="BL117" i="3"/>
  <c r="BT117" i="3" s="1"/>
  <c r="BJ117" i="3"/>
  <c r="CM117" i="3" s="1"/>
  <c r="BB117" i="3"/>
  <c r="BA117" i="3"/>
  <c r="AZ117" i="3"/>
  <c r="AY117" i="3"/>
  <c r="AX117" i="3"/>
  <c r="AT117" i="3"/>
  <c r="AP117" i="3"/>
  <c r="AG117" i="3"/>
  <c r="AE117" i="3"/>
  <c r="AI117" i="3" s="1"/>
  <c r="BC117" i="3" s="1"/>
  <c r="AD117" i="3"/>
  <c r="Z117" i="3"/>
  <c r="T117" i="3"/>
  <c r="Q117" i="3"/>
  <c r="AK117" i="3" s="1"/>
  <c r="BE117" i="3" s="1"/>
  <c r="O117" i="3"/>
  <c r="M117" i="3"/>
  <c r="L117" i="3"/>
  <c r="J117" i="3"/>
  <c r="F117" i="3"/>
  <c r="CL116" i="3"/>
  <c r="CJ116" i="3"/>
  <c r="BX116" i="3"/>
  <c r="BV116" i="3"/>
  <c r="BS116" i="3"/>
  <c r="BQ116" i="3"/>
  <c r="BP116" i="3"/>
  <c r="BR116" i="3" s="1"/>
  <c r="BM116" i="3"/>
  <c r="BL116" i="3"/>
  <c r="BJ116" i="3"/>
  <c r="BB116" i="3"/>
  <c r="BA116" i="3"/>
  <c r="AZ116" i="3"/>
  <c r="AY116" i="3"/>
  <c r="AX116" i="3"/>
  <c r="AT116" i="3"/>
  <c r="AP116" i="3"/>
  <c r="AH116" i="3"/>
  <c r="AG116" i="3"/>
  <c r="AK116" i="3" s="1"/>
  <c r="BE116" i="3" s="1"/>
  <c r="AF116" i="3"/>
  <c r="AE116" i="3"/>
  <c r="AI116" i="3" s="1"/>
  <c r="BC116" i="3" s="1"/>
  <c r="AD116" i="3"/>
  <c r="Z116" i="3"/>
  <c r="V116" i="3"/>
  <c r="Q116" i="3"/>
  <c r="P116" i="3"/>
  <c r="O116" i="3"/>
  <c r="CN116" i="3" s="1"/>
  <c r="N116" i="3"/>
  <c r="J116" i="3"/>
  <c r="F116" i="3"/>
  <c r="CL115" i="3"/>
  <c r="CK115" i="3"/>
  <c r="CJ115" i="3"/>
  <c r="BW115" i="3"/>
  <c r="BU115" i="3"/>
  <c r="BT115" i="3"/>
  <c r="BS115" i="3"/>
  <c r="BR115" i="3"/>
  <c r="BN115" i="3"/>
  <c r="BJ115" i="3"/>
  <c r="BA115" i="3"/>
  <c r="CP115" i="3" s="1"/>
  <c r="AZ115" i="3"/>
  <c r="AY115" i="3"/>
  <c r="AX115" i="3"/>
  <c r="AT115" i="3"/>
  <c r="AP115" i="3"/>
  <c r="AG115" i="3"/>
  <c r="AK115" i="3" s="1"/>
  <c r="AF115" i="3"/>
  <c r="AE115" i="3"/>
  <c r="AD115" i="3"/>
  <c r="Z115" i="3"/>
  <c r="V115" i="3"/>
  <c r="Q115" i="3"/>
  <c r="P115" i="3"/>
  <c r="O115" i="3"/>
  <c r="N115" i="3"/>
  <c r="J115" i="3"/>
  <c r="F115" i="3"/>
  <c r="CL114" i="3"/>
  <c r="CK114" i="3"/>
  <c r="CJ114" i="3"/>
  <c r="BV114" i="3"/>
  <c r="BU114" i="3"/>
  <c r="BT114" i="3"/>
  <c r="BS114" i="3"/>
  <c r="BW114" i="3" s="1"/>
  <c r="BR114" i="3"/>
  <c r="BN114" i="3"/>
  <c r="CM114" i="3" s="1"/>
  <c r="BJ114" i="3"/>
  <c r="BA114" i="3"/>
  <c r="CP114" i="3" s="1"/>
  <c r="AZ114" i="3"/>
  <c r="BB114" i="3" s="1"/>
  <c r="AY114" i="3"/>
  <c r="AX114" i="3"/>
  <c r="AT114" i="3"/>
  <c r="AP114" i="3"/>
  <c r="AG114" i="3"/>
  <c r="AK114" i="3" s="1"/>
  <c r="AF114" i="3"/>
  <c r="AE114" i="3"/>
  <c r="AD114" i="3"/>
  <c r="Z114" i="3"/>
  <c r="V114" i="3"/>
  <c r="Q114" i="3"/>
  <c r="P114" i="3"/>
  <c r="CO114" i="3" s="1"/>
  <c r="O114" i="3"/>
  <c r="N114" i="3"/>
  <c r="J114" i="3"/>
  <c r="F114" i="3"/>
  <c r="CJ113" i="3"/>
  <c r="BS113" i="3"/>
  <c r="BW113" i="3" s="1"/>
  <c r="BR113" i="3"/>
  <c r="BQ113" i="3"/>
  <c r="BQ112" i="3" s="1"/>
  <c r="BM113" i="3"/>
  <c r="BJ113" i="3"/>
  <c r="BI113" i="3"/>
  <c r="BE113" i="3"/>
  <c r="BA113" i="3"/>
  <c r="AY113" i="3"/>
  <c r="AX113" i="3"/>
  <c r="AW113" i="3"/>
  <c r="AW112" i="3" s="1"/>
  <c r="AP113" i="3"/>
  <c r="AO113" i="3"/>
  <c r="AK113" i="3"/>
  <c r="AG113" i="3"/>
  <c r="AG112" i="3" s="1"/>
  <c r="AE113" i="3"/>
  <c r="CN113" i="3" s="1"/>
  <c r="AD113" i="3"/>
  <c r="AC113" i="3"/>
  <c r="AC112" i="3" s="1"/>
  <c r="X113" i="3"/>
  <c r="V113" i="3"/>
  <c r="U113" i="3"/>
  <c r="Q113" i="3"/>
  <c r="P113" i="3"/>
  <c r="O113" i="3"/>
  <c r="M113" i="3"/>
  <c r="M112" i="3" s="1"/>
  <c r="Q112" i="3" s="1"/>
  <c r="N113" i="3"/>
  <c r="J113" i="3"/>
  <c r="F113" i="3"/>
  <c r="CJ112" i="3"/>
  <c r="BS112" i="3"/>
  <c r="BW112" i="3" s="1"/>
  <c r="BP112" i="3"/>
  <c r="BO112" i="3"/>
  <c r="BK112" i="3"/>
  <c r="BK107" i="3" s="1"/>
  <c r="BI112" i="3"/>
  <c r="BH112" i="3"/>
  <c r="BG112" i="3"/>
  <c r="AY112" i="3"/>
  <c r="AV112" i="3"/>
  <c r="AV107" i="3" s="1"/>
  <c r="AX107" i="3" s="1"/>
  <c r="AU112" i="3"/>
  <c r="AU107" i="3" s="1"/>
  <c r="AS112" i="3"/>
  <c r="AQ112" i="3"/>
  <c r="AO112" i="3"/>
  <c r="AN112" i="3"/>
  <c r="AM112" i="3"/>
  <c r="AE112" i="3"/>
  <c r="AB112" i="3"/>
  <c r="AA112" i="3"/>
  <c r="Y112" i="3"/>
  <c r="W112" i="3"/>
  <c r="W107" i="3" s="1"/>
  <c r="U112" i="3"/>
  <c r="T112" i="3"/>
  <c r="S112" i="3"/>
  <c r="K112" i="3"/>
  <c r="I112" i="3"/>
  <c r="H112" i="3"/>
  <c r="G112" i="3"/>
  <c r="E112" i="3"/>
  <c r="D112" i="3"/>
  <c r="C112" i="3"/>
  <c r="C107" i="3" s="1"/>
  <c r="C94" i="3" s="1"/>
  <c r="CN111" i="3"/>
  <c r="CL111" i="3"/>
  <c r="CK111" i="3"/>
  <c r="CJ111" i="3"/>
  <c r="BU111" i="3"/>
  <c r="BY111" i="3" s="1"/>
  <c r="BT111" i="3"/>
  <c r="BS111" i="3"/>
  <c r="BW111" i="3" s="1"/>
  <c r="CA111" i="3" s="1"/>
  <c r="BR111" i="3"/>
  <c r="BN111" i="3"/>
  <c r="BJ111" i="3"/>
  <c r="CM111" i="3" s="1"/>
  <c r="BB111" i="3"/>
  <c r="BA111" i="3"/>
  <c r="AZ111" i="3"/>
  <c r="AY111" i="3"/>
  <c r="AX111" i="3"/>
  <c r="AT111" i="3"/>
  <c r="AP111" i="3"/>
  <c r="AH111" i="3"/>
  <c r="AG111" i="3"/>
  <c r="AK111" i="3" s="1"/>
  <c r="BE111" i="3" s="1"/>
  <c r="AF111" i="3"/>
  <c r="AE111" i="3"/>
  <c r="AI111" i="3" s="1"/>
  <c r="BC111" i="3" s="1"/>
  <c r="AD111" i="3"/>
  <c r="Z111" i="3"/>
  <c r="V111" i="3"/>
  <c r="Q111" i="3"/>
  <c r="P111" i="3"/>
  <c r="O111" i="3"/>
  <c r="N111" i="3"/>
  <c r="J111" i="3"/>
  <c r="F111" i="3"/>
  <c r="CL110" i="3"/>
  <c r="CK110" i="3"/>
  <c r="CO110" i="3" s="1"/>
  <c r="CJ110" i="3"/>
  <c r="BY110" i="3"/>
  <c r="BU110" i="3"/>
  <c r="BT110" i="3"/>
  <c r="BS110" i="3"/>
  <c r="BW110" i="3" s="1"/>
  <c r="BR110" i="3"/>
  <c r="BN110" i="3"/>
  <c r="BJ110" i="3"/>
  <c r="CM110" i="3" s="1"/>
  <c r="BB110" i="3"/>
  <c r="BA110" i="3"/>
  <c r="AZ110" i="3"/>
  <c r="AY110" i="3"/>
  <c r="AX110" i="3"/>
  <c r="AT110" i="3"/>
  <c r="AP110" i="3"/>
  <c r="AK110" i="3"/>
  <c r="BE110" i="3" s="1"/>
  <c r="AG110" i="3"/>
  <c r="AF110" i="3"/>
  <c r="AJ110" i="3" s="1"/>
  <c r="AE110" i="3"/>
  <c r="AI110" i="3" s="1"/>
  <c r="BC110" i="3" s="1"/>
  <c r="AD110" i="3"/>
  <c r="Z110" i="3"/>
  <c r="V110" i="3"/>
  <c r="R110" i="3"/>
  <c r="Q110" i="3"/>
  <c r="P110" i="3"/>
  <c r="O110" i="3"/>
  <c r="N110" i="3"/>
  <c r="J110" i="3"/>
  <c r="F110" i="3"/>
  <c r="CP109" i="3"/>
  <c r="CL109" i="3"/>
  <c r="CK109" i="3"/>
  <c r="CJ109" i="3"/>
  <c r="CJ107" i="3" s="1"/>
  <c r="BU109" i="3"/>
  <c r="BY109" i="3" s="1"/>
  <c r="BT109" i="3"/>
  <c r="BS109" i="3"/>
  <c r="BR109" i="3"/>
  <c r="BN109" i="3"/>
  <c r="BJ109" i="3"/>
  <c r="BA109" i="3"/>
  <c r="AZ109" i="3"/>
  <c r="AY109" i="3"/>
  <c r="BW109" i="3" s="1"/>
  <c r="AX109" i="3"/>
  <c r="AT109" i="3"/>
  <c r="AP109" i="3"/>
  <c r="AH109" i="3"/>
  <c r="AG109" i="3"/>
  <c r="AF109" i="3"/>
  <c r="AE109" i="3"/>
  <c r="AD109" i="3"/>
  <c r="Z109" i="3"/>
  <c r="V109" i="3"/>
  <c r="Q109" i="3"/>
  <c r="P109" i="3"/>
  <c r="O109" i="3"/>
  <c r="N109" i="3"/>
  <c r="J109" i="3"/>
  <c r="F109" i="3"/>
  <c r="CP108" i="3"/>
  <c r="CL108" i="3"/>
  <c r="CK108" i="3"/>
  <c r="CJ108" i="3"/>
  <c r="BU108" i="3"/>
  <c r="BT108" i="3"/>
  <c r="BS108" i="3"/>
  <c r="BR108" i="3"/>
  <c r="BN108" i="3"/>
  <c r="BJ108" i="3"/>
  <c r="BA108" i="3"/>
  <c r="AZ108" i="3"/>
  <c r="AY108" i="3"/>
  <c r="BW108" i="3" s="1"/>
  <c r="AX108" i="3"/>
  <c r="AT108" i="3"/>
  <c r="AP108" i="3"/>
  <c r="AH108" i="3"/>
  <c r="AG108" i="3"/>
  <c r="AK108" i="3" s="1"/>
  <c r="AF108" i="3"/>
  <c r="AE108" i="3"/>
  <c r="AE107" i="3" s="1"/>
  <c r="AD108" i="3"/>
  <c r="Z108" i="3"/>
  <c r="V108" i="3"/>
  <c r="Q108" i="3"/>
  <c r="P108" i="3"/>
  <c r="O108" i="3"/>
  <c r="N108" i="3"/>
  <c r="J108" i="3"/>
  <c r="F108" i="3"/>
  <c r="BO107" i="3"/>
  <c r="BI107" i="3"/>
  <c r="BH107" i="3"/>
  <c r="BG107" i="3"/>
  <c r="BS107" i="3" s="1"/>
  <c r="AW107" i="3"/>
  <c r="AS107" i="3"/>
  <c r="AQ107" i="3"/>
  <c r="AO107" i="3"/>
  <c r="AM107" i="3"/>
  <c r="AC107" i="3"/>
  <c r="AA107" i="3"/>
  <c r="Y107" i="3"/>
  <c r="U107" i="3"/>
  <c r="S107" i="3"/>
  <c r="M107" i="3"/>
  <c r="K107" i="3"/>
  <c r="O107" i="3" s="1"/>
  <c r="G107" i="3"/>
  <c r="E107" i="3"/>
  <c r="CL106" i="3"/>
  <c r="CK106" i="3"/>
  <c r="CJ106" i="3"/>
  <c r="BY106" i="3"/>
  <c r="BU106" i="3"/>
  <c r="BT106" i="3"/>
  <c r="BS106" i="3"/>
  <c r="BR106" i="3"/>
  <c r="BN106" i="3"/>
  <c r="BJ106" i="3"/>
  <c r="CM106" i="3" s="1"/>
  <c r="BA106" i="3"/>
  <c r="AZ106" i="3"/>
  <c r="BB106" i="3" s="1"/>
  <c r="AY106" i="3"/>
  <c r="BW106" i="3" s="1"/>
  <c r="AX106" i="3"/>
  <c r="AT106" i="3"/>
  <c r="AP106" i="3"/>
  <c r="AH106" i="3"/>
  <c r="AG106" i="3"/>
  <c r="AF106" i="3"/>
  <c r="AE106" i="3"/>
  <c r="AD106" i="3"/>
  <c r="Z106" i="3"/>
  <c r="V106" i="3"/>
  <c r="Q106" i="3"/>
  <c r="P106" i="3"/>
  <c r="O106" i="3"/>
  <c r="N106" i="3"/>
  <c r="J106" i="3"/>
  <c r="F106" i="3"/>
  <c r="CM105" i="3"/>
  <c r="CQ105" i="3" s="1"/>
  <c r="CL105" i="3"/>
  <c r="CJ105" i="3"/>
  <c r="CN105" i="3" s="1"/>
  <c r="CC105" i="3"/>
  <c r="CK105" i="3"/>
  <c r="CO105" i="3" s="1"/>
  <c r="AW105" i="3"/>
  <c r="J105" i="3"/>
  <c r="F105" i="3"/>
  <c r="CL104" i="3"/>
  <c r="CK104" i="3"/>
  <c r="CJ104" i="3"/>
  <c r="BW104" i="3"/>
  <c r="BU104" i="3"/>
  <c r="BT104" i="3"/>
  <c r="BX104" i="3" s="1"/>
  <c r="BS104" i="3"/>
  <c r="BV104" i="3" s="1"/>
  <c r="BR104" i="3"/>
  <c r="BN104" i="3"/>
  <c r="BJ104" i="3"/>
  <c r="CM104" i="3" s="1"/>
  <c r="BA104" i="3"/>
  <c r="AZ104" i="3"/>
  <c r="AY104" i="3"/>
  <c r="BB104" i="3" s="1"/>
  <c r="AX104" i="3"/>
  <c r="AT104" i="3"/>
  <c r="AP104" i="3"/>
  <c r="AH104" i="3"/>
  <c r="AG104" i="3"/>
  <c r="AF104" i="3"/>
  <c r="AE104" i="3"/>
  <c r="AD104" i="3"/>
  <c r="Z104" i="3"/>
  <c r="V104" i="3"/>
  <c r="Q104" i="3"/>
  <c r="P104" i="3"/>
  <c r="O104" i="3"/>
  <c r="N104" i="3"/>
  <c r="J104" i="3"/>
  <c r="F104" i="3"/>
  <c r="CL103" i="3"/>
  <c r="CJ103" i="3"/>
  <c r="CJ101" i="3" s="1"/>
  <c r="BU103" i="3"/>
  <c r="BS103" i="3"/>
  <c r="BW103" i="3" s="1"/>
  <c r="BR103" i="3"/>
  <c r="BP103" i="3"/>
  <c r="BL103" i="3"/>
  <c r="BJ103" i="3"/>
  <c r="BH103" i="3"/>
  <c r="BA103" i="3"/>
  <c r="AZ103" i="3"/>
  <c r="BB103" i="3" s="1"/>
  <c r="AY103" i="3"/>
  <c r="AX103" i="3"/>
  <c r="AT103" i="3"/>
  <c r="AP103" i="3"/>
  <c r="AG103" i="3"/>
  <c r="AE103" i="3"/>
  <c r="AD103" i="3"/>
  <c r="Z103" i="3"/>
  <c r="T103" i="3"/>
  <c r="Q103" i="3"/>
  <c r="O103" i="3"/>
  <c r="L103" i="3"/>
  <c r="N103" i="3" s="1"/>
  <c r="H103" i="3"/>
  <c r="J103" i="3" s="1"/>
  <c r="D103" i="3"/>
  <c r="F103" i="3" s="1"/>
  <c r="CP102" i="3"/>
  <c r="CL102" i="3"/>
  <c r="CK102" i="3"/>
  <c r="CJ102" i="3"/>
  <c r="BY102" i="3"/>
  <c r="CC102" i="3" s="1"/>
  <c r="BX102" i="3"/>
  <c r="BU102" i="3"/>
  <c r="BT102" i="3"/>
  <c r="BS102" i="3"/>
  <c r="BR102" i="3"/>
  <c r="BN102" i="3"/>
  <c r="BJ102" i="3"/>
  <c r="CM102" i="3" s="1"/>
  <c r="BB102" i="3"/>
  <c r="BA102" i="3"/>
  <c r="AZ102" i="3"/>
  <c r="AY102" i="3"/>
  <c r="AX102" i="3"/>
  <c r="AT102" i="3"/>
  <c r="AP102" i="3"/>
  <c r="AK102" i="3"/>
  <c r="AI102" i="3"/>
  <c r="AG102" i="3"/>
  <c r="AF102" i="3"/>
  <c r="AJ102" i="3" s="1"/>
  <c r="AE102" i="3"/>
  <c r="AH102" i="3" s="1"/>
  <c r="AD102" i="3"/>
  <c r="Z102" i="3"/>
  <c r="V102" i="3"/>
  <c r="R102" i="3"/>
  <c r="Q102" i="3"/>
  <c r="P102" i="3"/>
  <c r="O102" i="3"/>
  <c r="N102" i="3"/>
  <c r="J102" i="3"/>
  <c r="F102" i="3"/>
  <c r="BU101" i="3"/>
  <c r="BQ101" i="3"/>
  <c r="BP101" i="3"/>
  <c r="BO101" i="3"/>
  <c r="BO99" i="3" s="1"/>
  <c r="BO94" i="3" s="1"/>
  <c r="BM101" i="3"/>
  <c r="BM99" i="3" s="1"/>
  <c r="BK101" i="3"/>
  <c r="BI101" i="3"/>
  <c r="BI99" i="3" s="1"/>
  <c r="BI94" i="3" s="1"/>
  <c r="BH101" i="3"/>
  <c r="BJ101" i="3" s="1"/>
  <c r="BG101" i="3"/>
  <c r="AZ101" i="3"/>
  <c r="BB101" i="3" s="1"/>
  <c r="AY101" i="3"/>
  <c r="AY99" i="3" s="1"/>
  <c r="AV101" i="3"/>
  <c r="AU101" i="3"/>
  <c r="AS101" i="3"/>
  <c r="AS99" i="3" s="1"/>
  <c r="AR101" i="3"/>
  <c r="AT101" i="3" s="1"/>
  <c r="AQ101" i="3"/>
  <c r="AO101" i="3"/>
  <c r="AN101" i="3"/>
  <c r="AM101" i="3"/>
  <c r="AM99" i="3" s="1"/>
  <c r="AM94" i="3" s="1"/>
  <c r="AE101" i="3"/>
  <c r="AE99" i="3" s="1"/>
  <c r="AC101" i="3"/>
  <c r="AC99" i="3" s="1"/>
  <c r="AC94" i="3" s="1"/>
  <c r="AB101" i="3"/>
  <c r="AD101" i="3" s="1"/>
  <c r="AA101" i="3"/>
  <c r="Y101" i="3"/>
  <c r="Y99" i="3" s="1"/>
  <c r="X101" i="3"/>
  <c r="Z101" i="3" s="1"/>
  <c r="W101" i="3"/>
  <c r="W99" i="3" s="1"/>
  <c r="U101" i="3"/>
  <c r="T101" i="3"/>
  <c r="V101" i="3" s="1"/>
  <c r="S101" i="3"/>
  <c r="S99" i="3" s="1"/>
  <c r="O101" i="3"/>
  <c r="M101" i="3"/>
  <c r="M99" i="3" s="1"/>
  <c r="L101" i="3"/>
  <c r="N101" i="3" s="1"/>
  <c r="K101" i="3"/>
  <c r="I101" i="3"/>
  <c r="H101" i="3"/>
  <c r="G101" i="3"/>
  <c r="G99" i="3" s="1"/>
  <c r="G94" i="3" s="1"/>
  <c r="E101" i="3"/>
  <c r="D101" i="3"/>
  <c r="D99" i="3" s="1"/>
  <c r="C101" i="3"/>
  <c r="C99" i="3" s="1"/>
  <c r="CN100" i="3"/>
  <c r="CL100" i="3"/>
  <c r="CJ100" i="3"/>
  <c r="BU100" i="3"/>
  <c r="BS100" i="3"/>
  <c r="BW100" i="3" s="1"/>
  <c r="CA100" i="3" s="1"/>
  <c r="BP100" i="3"/>
  <c r="BN100" i="3"/>
  <c r="BL100" i="3"/>
  <c r="BH100" i="3"/>
  <c r="BA100" i="3"/>
  <c r="AY100" i="3"/>
  <c r="AV100" i="3"/>
  <c r="AR100" i="3"/>
  <c r="AP100" i="3"/>
  <c r="AN100" i="3"/>
  <c r="AK100" i="3"/>
  <c r="AG100" i="3"/>
  <c r="AF100" i="3"/>
  <c r="AE100" i="3"/>
  <c r="AI100" i="3" s="1"/>
  <c r="AB100" i="3"/>
  <c r="AD100" i="3" s="1"/>
  <c r="X100" i="3"/>
  <c r="V100" i="3"/>
  <c r="Q100" i="3"/>
  <c r="P100" i="3"/>
  <c r="O100" i="3"/>
  <c r="N100" i="3"/>
  <c r="J100" i="3"/>
  <c r="F100" i="3"/>
  <c r="CL99" i="3"/>
  <c r="BU99" i="3"/>
  <c r="BQ99" i="3"/>
  <c r="BK99" i="3"/>
  <c r="BK94" i="3" s="1"/>
  <c r="BG99" i="3"/>
  <c r="AU99" i="3"/>
  <c r="AU94" i="3" s="1"/>
  <c r="AQ99" i="3"/>
  <c r="AQ94" i="3" s="1"/>
  <c r="AO99" i="3"/>
  <c r="AA99" i="3"/>
  <c r="U99" i="3"/>
  <c r="U94" i="3" s="1"/>
  <c r="T99" i="3"/>
  <c r="V99" i="3" s="1"/>
  <c r="K99" i="3"/>
  <c r="I99" i="3"/>
  <c r="E99" i="3"/>
  <c r="CO98" i="3"/>
  <c r="CN98" i="3"/>
  <c r="CL98" i="3"/>
  <c r="CK98" i="3"/>
  <c r="CJ98" i="3"/>
  <c r="CC98" i="3"/>
  <c r="BY98" i="3"/>
  <c r="BU98" i="3"/>
  <c r="BT98" i="3"/>
  <c r="BS98" i="3"/>
  <c r="BW98" i="3" s="1"/>
  <c r="BR98" i="3"/>
  <c r="BN98" i="3"/>
  <c r="BJ98" i="3"/>
  <c r="CM98" i="3" s="1"/>
  <c r="BB98" i="3"/>
  <c r="BA98" i="3"/>
  <c r="AZ98" i="3"/>
  <c r="AY98" i="3"/>
  <c r="AX98" i="3"/>
  <c r="AT98" i="3"/>
  <c r="AP98" i="3"/>
  <c r="AK98" i="3"/>
  <c r="BE98" i="3" s="1"/>
  <c r="AI98" i="3"/>
  <c r="BC98" i="3" s="1"/>
  <c r="AG98" i="3"/>
  <c r="AF98" i="3"/>
  <c r="AJ98" i="3" s="1"/>
  <c r="AE98" i="3"/>
  <c r="AH98" i="3" s="1"/>
  <c r="AD98" i="3"/>
  <c r="Z98" i="3"/>
  <c r="V98" i="3"/>
  <c r="R98" i="3"/>
  <c r="Q98" i="3"/>
  <c r="CP98" i="3" s="1"/>
  <c r="P98" i="3"/>
  <c r="O98" i="3"/>
  <c r="N98" i="3"/>
  <c r="J98" i="3"/>
  <c r="F98" i="3"/>
  <c r="CP97" i="3"/>
  <c r="CK97" i="3"/>
  <c r="CJ97" i="3"/>
  <c r="BT97" i="3"/>
  <c r="BS97" i="3"/>
  <c r="BW97" i="3" s="1"/>
  <c r="BR97" i="3"/>
  <c r="BQ97" i="3"/>
  <c r="CL97" i="3" s="1"/>
  <c r="BN97" i="3"/>
  <c r="BJ97" i="3"/>
  <c r="BA97" i="3"/>
  <c r="AZ97" i="3"/>
  <c r="AY97" i="3"/>
  <c r="AX97" i="3"/>
  <c r="AT97" i="3"/>
  <c r="AP97" i="3"/>
  <c r="AG97" i="3"/>
  <c r="AK97" i="3" s="1"/>
  <c r="BE97" i="3" s="1"/>
  <c r="AF97" i="3"/>
  <c r="AE97" i="3"/>
  <c r="AD97" i="3"/>
  <c r="Z97" i="3"/>
  <c r="V97" i="3"/>
  <c r="Q97" i="3"/>
  <c r="P97" i="3"/>
  <c r="O97" i="3"/>
  <c r="N97" i="3"/>
  <c r="J97" i="3"/>
  <c r="F97" i="3"/>
  <c r="CJ96" i="3"/>
  <c r="BT96" i="3"/>
  <c r="BS96" i="3"/>
  <c r="BW96" i="3" s="1"/>
  <c r="BQ96" i="3"/>
  <c r="BP96" i="3"/>
  <c r="BM96" i="3"/>
  <c r="BL96" i="3"/>
  <c r="BN96" i="3" s="1"/>
  <c r="BI96" i="3"/>
  <c r="BH96" i="3"/>
  <c r="AY96" i="3"/>
  <c r="AX96" i="3"/>
  <c r="AW96" i="3"/>
  <c r="AV96" i="3"/>
  <c r="AS96" i="3"/>
  <c r="AR96" i="3"/>
  <c r="AT96" i="3" s="1"/>
  <c r="AO96" i="3"/>
  <c r="AN96" i="3"/>
  <c r="AE96" i="3"/>
  <c r="AC96" i="3"/>
  <c r="AB96" i="3"/>
  <c r="AD96" i="3" s="1"/>
  <c r="Z96" i="3"/>
  <c r="Y96" i="3"/>
  <c r="X96" i="3"/>
  <c r="T96" i="3"/>
  <c r="O96" i="3"/>
  <c r="N96" i="3"/>
  <c r="M96" i="3"/>
  <c r="L96" i="3"/>
  <c r="P96" i="3" s="1"/>
  <c r="J96" i="3"/>
  <c r="I96" i="3"/>
  <c r="H96" i="3"/>
  <c r="F96" i="3"/>
  <c r="E96" i="3"/>
  <c r="E94" i="3" s="1"/>
  <c r="CL95" i="3"/>
  <c r="CK95" i="3"/>
  <c r="CJ95" i="3"/>
  <c r="BU95" i="3"/>
  <c r="BT95" i="3"/>
  <c r="BS95" i="3"/>
  <c r="BW95" i="3" s="1"/>
  <c r="BR95" i="3"/>
  <c r="BN95" i="3"/>
  <c r="BJ95" i="3"/>
  <c r="CM95" i="3" s="1"/>
  <c r="BB95" i="3"/>
  <c r="BA95" i="3"/>
  <c r="AZ95" i="3"/>
  <c r="AY95" i="3"/>
  <c r="AX95" i="3"/>
  <c r="AT95" i="3"/>
  <c r="AP95" i="3"/>
  <c r="AG95" i="3"/>
  <c r="AF95" i="3"/>
  <c r="AE95" i="3"/>
  <c r="AI95" i="3" s="1"/>
  <c r="AD95" i="3"/>
  <c r="Z95" i="3"/>
  <c r="V95" i="3"/>
  <c r="Q95" i="3"/>
  <c r="P95" i="3"/>
  <c r="R95" i="3" s="1"/>
  <c r="O95" i="3"/>
  <c r="CN95" i="3" s="1"/>
  <c r="N95" i="3"/>
  <c r="J95" i="3"/>
  <c r="F95" i="3"/>
  <c r="W94" i="3"/>
  <c r="S94" i="3"/>
  <c r="BW93" i="3"/>
  <c r="BS93" i="3"/>
  <c r="AY93" i="3"/>
  <c r="AX93" i="3"/>
  <c r="AT93" i="3"/>
  <c r="AP93" i="3"/>
  <c r="AK93" i="3"/>
  <c r="CC93" i="3" s="1"/>
  <c r="AG93" i="3"/>
  <c r="AF93" i="3"/>
  <c r="AE93" i="3"/>
  <c r="AI93" i="3" s="1"/>
  <c r="BC93" i="3" s="1"/>
  <c r="Q93" i="3"/>
  <c r="P93" i="3"/>
  <c r="R93" i="3" s="1"/>
  <c r="O93" i="3"/>
  <c r="N93" i="3"/>
  <c r="F93" i="3"/>
  <c r="CA92" i="3"/>
  <c r="BS92" i="3"/>
  <c r="AY92" i="3"/>
  <c r="BW92" i="3" s="1"/>
  <c r="AX92" i="3"/>
  <c r="AT92" i="3"/>
  <c r="AP92" i="3"/>
  <c r="AK92" i="3"/>
  <c r="AG92" i="3"/>
  <c r="AF92" i="3"/>
  <c r="AJ92" i="3" s="1"/>
  <c r="AE92" i="3"/>
  <c r="AI92" i="3" s="1"/>
  <c r="BC92" i="3" s="1"/>
  <c r="Q92" i="3"/>
  <c r="P92" i="3"/>
  <c r="O92" i="3"/>
  <c r="N92" i="3"/>
  <c r="BS91" i="3"/>
  <c r="BW91" i="3" s="1"/>
  <c r="AY91" i="3"/>
  <c r="AX91" i="3"/>
  <c r="AT91" i="3"/>
  <c r="AP91" i="3"/>
  <c r="AG91" i="3"/>
  <c r="AK91" i="3" s="1"/>
  <c r="AF91" i="3"/>
  <c r="AJ91" i="3" s="1"/>
  <c r="AE91" i="3"/>
  <c r="Q91" i="3"/>
  <c r="P91" i="3"/>
  <c r="O91" i="3"/>
  <c r="N91" i="3"/>
  <c r="CP90" i="3"/>
  <c r="CL90" i="3"/>
  <c r="CK90" i="3"/>
  <c r="CJ90" i="3"/>
  <c r="BV90" i="3"/>
  <c r="BU90" i="3"/>
  <c r="BY90" i="3" s="1"/>
  <c r="BT90" i="3"/>
  <c r="BX90" i="3" s="1"/>
  <c r="BS90" i="3"/>
  <c r="BR90" i="3"/>
  <c r="BN90" i="3"/>
  <c r="BJ90" i="3"/>
  <c r="BA90" i="3"/>
  <c r="AZ90" i="3"/>
  <c r="AY90" i="3"/>
  <c r="AX90" i="3"/>
  <c r="AT90" i="3"/>
  <c r="AP90" i="3"/>
  <c r="AJ90" i="3"/>
  <c r="AG90" i="3"/>
  <c r="AK90" i="3" s="1"/>
  <c r="BE90" i="3" s="1"/>
  <c r="AF90" i="3"/>
  <c r="AH90" i="3" s="1"/>
  <c r="AE90" i="3"/>
  <c r="AD90" i="3"/>
  <c r="Z90" i="3"/>
  <c r="V90" i="3"/>
  <c r="Q90" i="3"/>
  <c r="P90" i="3"/>
  <c r="O90" i="3"/>
  <c r="N90" i="3"/>
  <c r="J90" i="3"/>
  <c r="F90" i="3"/>
  <c r="CQ89" i="3"/>
  <c r="CL89" i="3"/>
  <c r="CK89" i="3"/>
  <c r="CJ89" i="3"/>
  <c r="BY89" i="3"/>
  <c r="BX89" i="3"/>
  <c r="BU89" i="3"/>
  <c r="BT89" i="3"/>
  <c r="BV89" i="3" s="1"/>
  <c r="BS89" i="3"/>
  <c r="BW89" i="3" s="1"/>
  <c r="CA89" i="3" s="1"/>
  <c r="BR89" i="3"/>
  <c r="BN89" i="3"/>
  <c r="BJ89" i="3"/>
  <c r="CM89" i="3" s="1"/>
  <c r="BA89" i="3"/>
  <c r="AZ89" i="3"/>
  <c r="BB89" i="3" s="1"/>
  <c r="AY89" i="3"/>
  <c r="AX89" i="3"/>
  <c r="AT89" i="3"/>
  <c r="AP89" i="3"/>
  <c r="AH89" i="3"/>
  <c r="AG89" i="3"/>
  <c r="AF89" i="3"/>
  <c r="CO89" i="3" s="1"/>
  <c r="AE89" i="3"/>
  <c r="AI89" i="3" s="1"/>
  <c r="BC89" i="3" s="1"/>
  <c r="AD89" i="3"/>
  <c r="Z89" i="3"/>
  <c r="V89" i="3"/>
  <c r="R89" i="3"/>
  <c r="Q89" i="3"/>
  <c r="P89" i="3"/>
  <c r="O89" i="3"/>
  <c r="N89" i="3"/>
  <c r="J89" i="3"/>
  <c r="F89" i="3"/>
  <c r="CP88" i="3"/>
  <c r="CL88" i="3"/>
  <c r="CK88" i="3"/>
  <c r="CJ88" i="3"/>
  <c r="BV88" i="3"/>
  <c r="BU88" i="3"/>
  <c r="BY88" i="3" s="1"/>
  <c r="BT88" i="3"/>
  <c r="BX88" i="3" s="1"/>
  <c r="CB88" i="3" s="1"/>
  <c r="BS88" i="3"/>
  <c r="BR88" i="3"/>
  <c r="BN88" i="3"/>
  <c r="BJ88" i="3"/>
  <c r="BD88" i="3"/>
  <c r="BA88" i="3"/>
  <c r="AZ88" i="3"/>
  <c r="AY88" i="3"/>
  <c r="AX88" i="3"/>
  <c r="AT88" i="3"/>
  <c r="AP88" i="3"/>
  <c r="AJ88" i="3"/>
  <c r="AG88" i="3"/>
  <c r="AK88" i="3" s="1"/>
  <c r="BE88" i="3" s="1"/>
  <c r="AF88" i="3"/>
  <c r="AH88" i="3" s="1"/>
  <c r="AE88" i="3"/>
  <c r="AI88" i="3" s="1"/>
  <c r="AL88" i="3" s="1"/>
  <c r="AD88" i="3"/>
  <c r="Z88" i="3"/>
  <c r="V88" i="3"/>
  <c r="Q88" i="3"/>
  <c r="P88" i="3"/>
  <c r="O88" i="3"/>
  <c r="N88" i="3"/>
  <c r="J88" i="3"/>
  <c r="F88" i="3"/>
  <c r="CM87" i="3"/>
  <c r="CL87" i="3"/>
  <c r="CP87" i="3" s="1"/>
  <c r="CK87" i="3"/>
  <c r="CJ87" i="3"/>
  <c r="CC87" i="3"/>
  <c r="BT87" i="3"/>
  <c r="AG87" i="3"/>
  <c r="AK87" i="3" s="1"/>
  <c r="AF87" i="3"/>
  <c r="AJ87" i="3" s="1"/>
  <c r="AE87" i="3"/>
  <c r="Q87" i="3"/>
  <c r="P87" i="3"/>
  <c r="CO87" i="3" s="1"/>
  <c r="O87" i="3"/>
  <c r="N87" i="3"/>
  <c r="J87" i="3"/>
  <c r="F87" i="3"/>
  <c r="CM86" i="3"/>
  <c r="CL86" i="3"/>
  <c r="CK86" i="3"/>
  <c r="CJ86" i="3"/>
  <c r="BU86" i="3"/>
  <c r="BT86" i="3"/>
  <c r="BX86" i="3" s="1"/>
  <c r="BS86" i="3"/>
  <c r="BB86" i="3"/>
  <c r="BA86" i="3"/>
  <c r="AZ86" i="3"/>
  <c r="AY86" i="3"/>
  <c r="AX86" i="3"/>
  <c r="AT86" i="3"/>
  <c r="AG86" i="3"/>
  <c r="AK86" i="3" s="1"/>
  <c r="AF86" i="3"/>
  <c r="AE86" i="3"/>
  <c r="Q86" i="3"/>
  <c r="P86" i="3"/>
  <c r="O86" i="3"/>
  <c r="N86" i="3"/>
  <c r="J86" i="3"/>
  <c r="F86" i="3"/>
  <c r="CK85" i="3"/>
  <c r="CJ85" i="3"/>
  <c r="BX85" i="3"/>
  <c r="BS85" i="3"/>
  <c r="BR85" i="3"/>
  <c r="BQ85" i="3"/>
  <c r="BP85" i="3"/>
  <c r="BT85" i="3" s="1"/>
  <c r="BV85" i="3" s="1"/>
  <c r="BN85" i="3"/>
  <c r="CM85" i="3" s="1"/>
  <c r="BM85" i="3"/>
  <c r="BL85" i="3"/>
  <c r="BJ85" i="3"/>
  <c r="BE85" i="3"/>
  <c r="BA85" i="3"/>
  <c r="AZ85" i="3"/>
  <c r="AY85" i="3"/>
  <c r="BB85" i="3" s="1"/>
  <c r="AX85" i="3"/>
  <c r="AT85" i="3"/>
  <c r="AP85" i="3"/>
  <c r="AH85" i="3"/>
  <c r="AG85" i="3"/>
  <c r="AK85" i="3" s="1"/>
  <c r="AF85" i="3"/>
  <c r="AE85" i="3"/>
  <c r="AD85" i="3"/>
  <c r="Z85" i="3"/>
  <c r="V85" i="3"/>
  <c r="Q85" i="3"/>
  <c r="P85" i="3"/>
  <c r="O85" i="3"/>
  <c r="N85" i="3"/>
  <c r="J85" i="3"/>
  <c r="F85" i="3"/>
  <c r="CN84" i="3"/>
  <c r="CL84" i="3"/>
  <c r="CJ84" i="3"/>
  <c r="BU84" i="3"/>
  <c r="BY84" i="3" s="1"/>
  <c r="BS84" i="3"/>
  <c r="BW84" i="3" s="1"/>
  <c r="BR84" i="3"/>
  <c r="BP84" i="3"/>
  <c r="BL84" i="3"/>
  <c r="BJ84" i="3"/>
  <c r="BA84" i="3"/>
  <c r="AY84" i="3"/>
  <c r="AX84" i="3"/>
  <c r="AV84" i="3"/>
  <c r="AR84" i="3"/>
  <c r="AN84" i="3"/>
  <c r="AG84" i="3"/>
  <c r="AK84" i="3" s="1"/>
  <c r="BE84" i="3" s="1"/>
  <c r="AE84" i="3"/>
  <c r="AB84" i="3"/>
  <c r="Z84" i="3"/>
  <c r="Q84" i="3"/>
  <c r="P84" i="3"/>
  <c r="O84" i="3"/>
  <c r="AI84" i="3" s="1"/>
  <c r="BC84" i="3" s="1"/>
  <c r="N84" i="3"/>
  <c r="L84" i="3"/>
  <c r="J84" i="3"/>
  <c r="H84" i="3"/>
  <c r="H75" i="3" s="1"/>
  <c r="F84" i="3"/>
  <c r="D84" i="3"/>
  <c r="CL83" i="3"/>
  <c r="CK83" i="3"/>
  <c r="CJ83" i="3"/>
  <c r="BV83" i="3"/>
  <c r="BU83" i="3"/>
  <c r="BT83" i="3"/>
  <c r="BS83" i="3"/>
  <c r="BR83" i="3"/>
  <c r="BN83" i="3"/>
  <c r="BJ83" i="3"/>
  <c r="BD83" i="3"/>
  <c r="BF83" i="3" s="1"/>
  <c r="BA83" i="3"/>
  <c r="BY83" i="3" s="1"/>
  <c r="AZ83" i="3"/>
  <c r="BB83" i="3" s="1"/>
  <c r="AY83" i="3"/>
  <c r="AX83" i="3"/>
  <c r="AT83" i="3"/>
  <c r="AH83" i="3"/>
  <c r="AG83" i="3"/>
  <c r="CP83" i="3" s="1"/>
  <c r="AF83" i="3"/>
  <c r="AJ83" i="3" s="1"/>
  <c r="AL83" i="3" s="1"/>
  <c r="AE83" i="3"/>
  <c r="AI83" i="3" s="1"/>
  <c r="BC83" i="3" s="1"/>
  <c r="AD83" i="3"/>
  <c r="Z83" i="3"/>
  <c r="Q83" i="3"/>
  <c r="P83" i="3"/>
  <c r="O83" i="3"/>
  <c r="N83" i="3"/>
  <c r="J83" i="3"/>
  <c r="F83" i="3"/>
  <c r="CO82" i="3"/>
  <c r="CL82" i="3"/>
  <c r="CK82" i="3"/>
  <c r="CJ82" i="3"/>
  <c r="BV82" i="3"/>
  <c r="BU82" i="3"/>
  <c r="BY82" i="3" s="1"/>
  <c r="BT82" i="3"/>
  <c r="BX82" i="3" s="1"/>
  <c r="BS82" i="3"/>
  <c r="BR82" i="3"/>
  <c r="BN82" i="3"/>
  <c r="BJ82" i="3"/>
  <c r="CM82" i="3" s="1"/>
  <c r="BA82" i="3"/>
  <c r="AZ82" i="3"/>
  <c r="AY82" i="3"/>
  <c r="BB82" i="3" s="1"/>
  <c r="AX82" i="3"/>
  <c r="AT82" i="3"/>
  <c r="AG82" i="3"/>
  <c r="AF82" i="3"/>
  <c r="AE82" i="3"/>
  <c r="AI82" i="3" s="1"/>
  <c r="BC82" i="3" s="1"/>
  <c r="AD82" i="3"/>
  <c r="Z82" i="3"/>
  <c r="R82" i="3"/>
  <c r="Q82" i="3"/>
  <c r="CP82" i="3" s="1"/>
  <c r="P82" i="3"/>
  <c r="O82" i="3"/>
  <c r="N82" i="3"/>
  <c r="F82" i="3"/>
  <c r="CL81" i="3"/>
  <c r="CK81" i="3"/>
  <c r="CJ81" i="3"/>
  <c r="BY81" i="3"/>
  <c r="BU81" i="3"/>
  <c r="BT81" i="3"/>
  <c r="BS81" i="3"/>
  <c r="BW81" i="3" s="1"/>
  <c r="BR81" i="3"/>
  <c r="BN81" i="3"/>
  <c r="BJ81" i="3"/>
  <c r="CM81" i="3" s="1"/>
  <c r="BA81" i="3"/>
  <c r="AZ81" i="3"/>
  <c r="AY81" i="3"/>
  <c r="AX81" i="3"/>
  <c r="AT81" i="3"/>
  <c r="AH81" i="3"/>
  <c r="AG81" i="3"/>
  <c r="AK81" i="3" s="1"/>
  <c r="BE81" i="3" s="1"/>
  <c r="AF81" i="3"/>
  <c r="AE81" i="3"/>
  <c r="AD81" i="3"/>
  <c r="Z81" i="3"/>
  <c r="V81" i="3"/>
  <c r="Q81" i="3"/>
  <c r="CP81" i="3" s="1"/>
  <c r="P81" i="3"/>
  <c r="O81" i="3"/>
  <c r="CN81" i="3" s="1"/>
  <c r="N81" i="3"/>
  <c r="J81" i="3"/>
  <c r="F81" i="3"/>
  <c r="CL80" i="3"/>
  <c r="CK80" i="3"/>
  <c r="CJ80" i="3"/>
  <c r="BU80" i="3"/>
  <c r="BT80" i="3"/>
  <c r="BS80" i="3"/>
  <c r="BW80" i="3" s="1"/>
  <c r="CA80" i="3" s="1"/>
  <c r="BR80" i="3"/>
  <c r="BN80" i="3"/>
  <c r="BJ80" i="3"/>
  <c r="CM80" i="3" s="1"/>
  <c r="BB80" i="3"/>
  <c r="BA80" i="3"/>
  <c r="AZ80" i="3"/>
  <c r="AY80" i="3"/>
  <c r="AX80" i="3"/>
  <c r="AT80" i="3"/>
  <c r="AP80" i="3"/>
  <c r="AG80" i="3"/>
  <c r="AF80" i="3"/>
  <c r="AE80" i="3"/>
  <c r="AI80" i="3" s="1"/>
  <c r="BC80" i="3" s="1"/>
  <c r="AD80" i="3"/>
  <c r="Z80" i="3"/>
  <c r="V80" i="3"/>
  <c r="Q80" i="3"/>
  <c r="CP80" i="3" s="1"/>
  <c r="P80" i="3"/>
  <c r="O80" i="3"/>
  <c r="CN80" i="3" s="1"/>
  <c r="N80" i="3"/>
  <c r="J80" i="3"/>
  <c r="F80" i="3"/>
  <c r="CN79" i="3"/>
  <c r="CL79" i="3"/>
  <c r="CK79" i="3"/>
  <c r="CJ79" i="3"/>
  <c r="BV79" i="3"/>
  <c r="BU79" i="3"/>
  <c r="BY79" i="3" s="1"/>
  <c r="BT79" i="3"/>
  <c r="BX79" i="3" s="1"/>
  <c r="BS79" i="3"/>
  <c r="BR79" i="3"/>
  <c r="BN79" i="3"/>
  <c r="BJ79" i="3"/>
  <c r="CM79" i="3" s="1"/>
  <c r="BE79" i="3"/>
  <c r="BA79" i="3"/>
  <c r="AZ79" i="3"/>
  <c r="AY79" i="3"/>
  <c r="BB79" i="3" s="1"/>
  <c r="AX79" i="3"/>
  <c r="AT79" i="3"/>
  <c r="AP79" i="3"/>
  <c r="AH79" i="3"/>
  <c r="AG79" i="3"/>
  <c r="AK79" i="3" s="1"/>
  <c r="AF79" i="3"/>
  <c r="AE79" i="3"/>
  <c r="AD79" i="3"/>
  <c r="Z79" i="3"/>
  <c r="V79" i="3"/>
  <c r="Q79" i="3"/>
  <c r="P79" i="3"/>
  <c r="CO79" i="3" s="1"/>
  <c r="O79" i="3"/>
  <c r="N79" i="3"/>
  <c r="J79" i="3"/>
  <c r="F79" i="3"/>
  <c r="CM78" i="3"/>
  <c r="CL78" i="3"/>
  <c r="CK78" i="3"/>
  <c r="CJ78" i="3"/>
  <c r="BU78" i="3"/>
  <c r="BT78" i="3"/>
  <c r="BV78" i="3" s="1"/>
  <c r="BS78" i="3"/>
  <c r="BW78" i="3" s="1"/>
  <c r="BR78" i="3"/>
  <c r="BN78" i="3"/>
  <c r="BJ78" i="3"/>
  <c r="BB78" i="3"/>
  <c r="BA78" i="3"/>
  <c r="AZ78" i="3"/>
  <c r="AY78" i="3"/>
  <c r="AX78" i="3"/>
  <c r="AT78" i="3"/>
  <c r="AP78" i="3"/>
  <c r="AK78" i="3"/>
  <c r="AJ78" i="3"/>
  <c r="AG78" i="3"/>
  <c r="AE78" i="3"/>
  <c r="AD78" i="3"/>
  <c r="Z78" i="3"/>
  <c r="V78" i="3"/>
  <c r="R78" i="3"/>
  <c r="Q78" i="3"/>
  <c r="P78" i="3"/>
  <c r="CO78" i="3" s="1"/>
  <c r="O78" i="3"/>
  <c r="CN78" i="3" s="1"/>
  <c r="N78" i="3"/>
  <c r="J78" i="3"/>
  <c r="F78" i="3"/>
  <c r="CP77" i="3"/>
  <c r="CJ77" i="3"/>
  <c r="BY77" i="3"/>
  <c r="BU77" i="3"/>
  <c r="BS77" i="3"/>
  <c r="BR77" i="3"/>
  <c r="BQ77" i="3"/>
  <c r="CL77" i="3" s="1"/>
  <c r="BP77" i="3"/>
  <c r="CK77" i="3" s="1"/>
  <c r="BN77" i="3"/>
  <c r="BJ77" i="3"/>
  <c r="CM77" i="3" s="1"/>
  <c r="BA77" i="3"/>
  <c r="AZ77" i="3"/>
  <c r="BB77" i="3" s="1"/>
  <c r="AY77" i="3"/>
  <c r="AY74" i="3" s="1"/>
  <c r="AX77" i="3"/>
  <c r="AT77" i="3"/>
  <c r="AP77" i="3"/>
  <c r="AH77" i="3"/>
  <c r="AG77" i="3"/>
  <c r="AF77" i="3"/>
  <c r="AE77" i="3"/>
  <c r="AI77" i="3" s="1"/>
  <c r="BC77" i="3" s="1"/>
  <c r="AD77" i="3"/>
  <c r="Z77" i="3"/>
  <c r="V77" i="3"/>
  <c r="Q77" i="3"/>
  <c r="P77" i="3"/>
  <c r="O77" i="3"/>
  <c r="N77" i="3"/>
  <c r="J77" i="3"/>
  <c r="I77" i="3"/>
  <c r="I75" i="3" s="1"/>
  <c r="H77" i="3"/>
  <c r="F77" i="3"/>
  <c r="CL76" i="3"/>
  <c r="CK76" i="3"/>
  <c r="CJ76" i="3"/>
  <c r="BU76" i="3"/>
  <c r="BT76" i="3"/>
  <c r="BS76" i="3"/>
  <c r="BW76" i="3" s="1"/>
  <c r="CA76" i="3" s="1"/>
  <c r="BR76" i="3"/>
  <c r="CM76" i="3" s="1"/>
  <c r="BN76" i="3"/>
  <c r="BJ76" i="3"/>
  <c r="BA76" i="3"/>
  <c r="BY76" i="3" s="1"/>
  <c r="AZ76" i="3"/>
  <c r="BB76" i="3" s="1"/>
  <c r="AY76" i="3"/>
  <c r="AX76" i="3"/>
  <c r="AT76" i="3"/>
  <c r="AP76" i="3"/>
  <c r="AI76" i="3"/>
  <c r="BC76" i="3" s="1"/>
  <c r="AG76" i="3"/>
  <c r="AF76" i="3"/>
  <c r="AE76" i="3"/>
  <c r="AD76" i="3"/>
  <c r="Z76" i="3"/>
  <c r="V76" i="3"/>
  <c r="Q76" i="3"/>
  <c r="P76" i="3"/>
  <c r="O76" i="3"/>
  <c r="CN76" i="3" s="1"/>
  <c r="N76" i="3"/>
  <c r="J76" i="3"/>
  <c r="F76" i="3"/>
  <c r="BW75" i="3"/>
  <c r="BS75" i="3"/>
  <c r="BR75" i="3"/>
  <c r="BQ75" i="3"/>
  <c r="BP75" i="3"/>
  <c r="BM75" i="3"/>
  <c r="BM74" i="3" s="1"/>
  <c r="BI75" i="3"/>
  <c r="BU75" i="3" s="1"/>
  <c r="BH75" i="3"/>
  <c r="AY75" i="3"/>
  <c r="AX75" i="3"/>
  <c r="AW75" i="3"/>
  <c r="BA75" i="3" s="1"/>
  <c r="BA74" i="3" s="1"/>
  <c r="AV75" i="3"/>
  <c r="AS75" i="3"/>
  <c r="AS74" i="3" s="1"/>
  <c r="AO75" i="3"/>
  <c r="AN75" i="3"/>
  <c r="AE75" i="3"/>
  <c r="AC75" i="3"/>
  <c r="Z75" i="3"/>
  <c r="Y75" i="3"/>
  <c r="X75" i="3"/>
  <c r="U75" i="3"/>
  <c r="T75" i="3"/>
  <c r="O75" i="3"/>
  <c r="M75" i="3"/>
  <c r="L75" i="3"/>
  <c r="N75" i="3" s="1"/>
  <c r="J75" i="3"/>
  <c r="F75" i="3"/>
  <c r="E75" i="3"/>
  <c r="D75" i="3"/>
  <c r="BQ74" i="3"/>
  <c r="BP74" i="3"/>
  <c r="BR74" i="3" s="1"/>
  <c r="BO74" i="3"/>
  <c r="BK74" i="3"/>
  <c r="BI74" i="3"/>
  <c r="BH74" i="3"/>
  <c r="BJ74" i="3" s="1"/>
  <c r="BG74" i="3"/>
  <c r="AW74" i="3"/>
  <c r="AV74" i="3"/>
  <c r="AX74" i="3" s="1"/>
  <c r="AU74" i="3"/>
  <c r="AQ74" i="3"/>
  <c r="AO74" i="3"/>
  <c r="AM74" i="3"/>
  <c r="AC74" i="3"/>
  <c r="AA74" i="3"/>
  <c r="Y74" i="3"/>
  <c r="X74" i="3"/>
  <c r="Z74" i="3" s="1"/>
  <c r="W74" i="3"/>
  <c r="U74" i="3"/>
  <c r="T74" i="3"/>
  <c r="V74" i="3" s="1"/>
  <c r="S74" i="3"/>
  <c r="M74" i="3"/>
  <c r="K74" i="3"/>
  <c r="I74" i="3"/>
  <c r="H74" i="3"/>
  <c r="J74" i="3" s="1"/>
  <c r="G74" i="3"/>
  <c r="E74" i="3"/>
  <c r="D74" i="3"/>
  <c r="F74" i="3" s="1"/>
  <c r="C74" i="3"/>
  <c r="CP73" i="3"/>
  <c r="CL73" i="3"/>
  <c r="CK73" i="3"/>
  <c r="CO73" i="3" s="1"/>
  <c r="CJ73" i="3"/>
  <c r="BY73" i="3"/>
  <c r="BX73" i="3"/>
  <c r="BU73" i="3"/>
  <c r="BT73" i="3"/>
  <c r="BV73" i="3" s="1"/>
  <c r="BS73" i="3"/>
  <c r="BR73" i="3"/>
  <c r="BN73" i="3"/>
  <c r="BJ73" i="3"/>
  <c r="BA73" i="3"/>
  <c r="AZ73" i="3"/>
  <c r="AY73" i="3"/>
  <c r="AX73" i="3"/>
  <c r="AT73" i="3"/>
  <c r="AP73" i="3"/>
  <c r="AI73" i="3"/>
  <c r="BC73" i="3" s="1"/>
  <c r="AG73" i="3"/>
  <c r="AF73" i="3"/>
  <c r="AJ73" i="3" s="1"/>
  <c r="BD73" i="3" s="1"/>
  <c r="AE73" i="3"/>
  <c r="AD73" i="3"/>
  <c r="Z73" i="3"/>
  <c r="V73" i="3"/>
  <c r="R73" i="3"/>
  <c r="Q73" i="3"/>
  <c r="P73" i="3"/>
  <c r="O73" i="3"/>
  <c r="N73" i="3"/>
  <c r="J73" i="3"/>
  <c r="F73" i="3"/>
  <c r="CL72" i="3"/>
  <c r="CK72" i="3"/>
  <c r="CJ72" i="3"/>
  <c r="BU72" i="3"/>
  <c r="BT72" i="3"/>
  <c r="BR72" i="3"/>
  <c r="CM72" i="3" s="1"/>
  <c r="BA72" i="3"/>
  <c r="AZ72" i="3"/>
  <c r="BB72" i="3" s="1"/>
  <c r="AY72" i="3"/>
  <c r="AJ72" i="3"/>
  <c r="AG72" i="3"/>
  <c r="AF72" i="3"/>
  <c r="AH72" i="3" s="1"/>
  <c r="AD72" i="3"/>
  <c r="Q72" i="3"/>
  <c r="CP72" i="3" s="1"/>
  <c r="P72" i="3"/>
  <c r="R72" i="3" s="1"/>
  <c r="O72" i="3"/>
  <c r="CN72" i="3" s="1"/>
  <c r="J72" i="3"/>
  <c r="F72" i="3"/>
  <c r="CL71" i="3"/>
  <c r="CK71" i="3"/>
  <c r="CJ71" i="3"/>
  <c r="CN71" i="3" s="1"/>
  <c r="BU71" i="3"/>
  <c r="BT71" i="3"/>
  <c r="BS71" i="3"/>
  <c r="BR71" i="3"/>
  <c r="CM71" i="3" s="1"/>
  <c r="BN71" i="3"/>
  <c r="BJ71" i="3"/>
  <c r="BA71" i="3"/>
  <c r="AY71" i="3"/>
  <c r="AV71" i="3"/>
  <c r="AT71" i="3"/>
  <c r="AP71" i="3"/>
  <c r="AH71" i="3"/>
  <c r="AG71" i="3"/>
  <c r="AK71" i="3" s="1"/>
  <c r="BE71" i="3" s="1"/>
  <c r="AF71" i="3"/>
  <c r="AE71" i="3"/>
  <c r="AI71" i="3" s="1"/>
  <c r="BC71" i="3" s="1"/>
  <c r="AD71" i="3"/>
  <c r="AD63" i="3" s="1"/>
  <c r="Z71" i="3"/>
  <c r="V71" i="3"/>
  <c r="Q71" i="3"/>
  <c r="P71" i="3"/>
  <c r="O71" i="3"/>
  <c r="N71" i="3"/>
  <c r="J71" i="3"/>
  <c r="F71" i="3"/>
  <c r="CL70" i="3"/>
  <c r="CK70" i="3"/>
  <c r="CJ70" i="3"/>
  <c r="BX70" i="3"/>
  <c r="BU70" i="3"/>
  <c r="BY70" i="3" s="1"/>
  <c r="BT70" i="3"/>
  <c r="BS70" i="3"/>
  <c r="BW70" i="3" s="1"/>
  <c r="CA70" i="3" s="1"/>
  <c r="BR70" i="3"/>
  <c r="BN70" i="3"/>
  <c r="BJ70" i="3"/>
  <c r="CM70" i="3" s="1"/>
  <c r="BA70" i="3"/>
  <c r="AZ70" i="3"/>
  <c r="AY70" i="3"/>
  <c r="BC70" i="3" s="1"/>
  <c r="AX70" i="3"/>
  <c r="AT70" i="3"/>
  <c r="AP70" i="3"/>
  <c r="AH70" i="3"/>
  <c r="AG70" i="3"/>
  <c r="AK70" i="3" s="1"/>
  <c r="BE70" i="3" s="1"/>
  <c r="AF70" i="3"/>
  <c r="AE70" i="3"/>
  <c r="AI70" i="3" s="1"/>
  <c r="AD70" i="3"/>
  <c r="Z70" i="3"/>
  <c r="V70" i="3"/>
  <c r="Q70" i="3"/>
  <c r="O70" i="3"/>
  <c r="N70" i="3"/>
  <c r="J70" i="3"/>
  <c r="H70" i="3"/>
  <c r="P70" i="3" s="1"/>
  <c r="F70" i="3"/>
  <c r="CL69" i="3"/>
  <c r="CK69" i="3"/>
  <c r="CO69" i="3" s="1"/>
  <c r="CJ69" i="3"/>
  <c r="BY69" i="3"/>
  <c r="BX69" i="3"/>
  <c r="CB69" i="3" s="1"/>
  <c r="BU69" i="3"/>
  <c r="BT69" i="3"/>
  <c r="BV69" i="3" s="1"/>
  <c r="BS69" i="3"/>
  <c r="BR69" i="3"/>
  <c r="BN69" i="3"/>
  <c r="BJ69" i="3"/>
  <c r="BA69" i="3"/>
  <c r="AZ69" i="3"/>
  <c r="AY69" i="3"/>
  <c r="AX69" i="3"/>
  <c r="AT69" i="3"/>
  <c r="AP69" i="3"/>
  <c r="AH69" i="3"/>
  <c r="AG69" i="3"/>
  <c r="AF69" i="3"/>
  <c r="AJ69" i="3" s="1"/>
  <c r="BD69" i="3" s="1"/>
  <c r="AE69" i="3"/>
  <c r="AD69" i="3"/>
  <c r="Z69" i="3"/>
  <c r="V69" i="3"/>
  <c r="R69" i="3"/>
  <c r="Q69" i="3"/>
  <c r="CP69" i="3" s="1"/>
  <c r="P69" i="3"/>
  <c r="O69" i="3"/>
  <c r="N69" i="3"/>
  <c r="J69" i="3"/>
  <c r="F69" i="3"/>
  <c r="CP68" i="3"/>
  <c r="CL68" i="3"/>
  <c r="CK68" i="3"/>
  <c r="CJ68" i="3"/>
  <c r="BX68" i="3"/>
  <c r="BU68" i="3"/>
  <c r="BY68" i="3" s="1"/>
  <c r="CC68" i="3" s="1"/>
  <c r="BT68" i="3"/>
  <c r="BV68" i="3" s="1"/>
  <c r="BS68" i="3"/>
  <c r="BR68" i="3"/>
  <c r="BN68" i="3"/>
  <c r="BJ68" i="3"/>
  <c r="CM68" i="3" s="1"/>
  <c r="BA68" i="3"/>
  <c r="AZ68" i="3"/>
  <c r="BB68" i="3" s="1"/>
  <c r="AY68" i="3"/>
  <c r="AX68" i="3"/>
  <c r="AT68" i="3"/>
  <c r="AP68" i="3"/>
  <c r="AG68" i="3"/>
  <c r="AK68" i="3" s="1"/>
  <c r="BE68" i="3" s="1"/>
  <c r="AF68" i="3"/>
  <c r="AE68" i="3"/>
  <c r="AD68" i="3"/>
  <c r="Z68" i="3"/>
  <c r="V68" i="3"/>
  <c r="Q68" i="3"/>
  <c r="Q63" i="3" s="1"/>
  <c r="O68" i="3"/>
  <c r="L68" i="3"/>
  <c r="I68" i="3"/>
  <c r="H68" i="3"/>
  <c r="F68" i="3"/>
  <c r="CK67" i="3"/>
  <c r="CJ67" i="3"/>
  <c r="BT67" i="3"/>
  <c r="BS67" i="3"/>
  <c r="BW67" i="3" s="1"/>
  <c r="CA67" i="3" s="1"/>
  <c r="BR67" i="3"/>
  <c r="BP67" i="3"/>
  <c r="BN67" i="3"/>
  <c r="BN63" i="3" s="1"/>
  <c r="BL67" i="3"/>
  <c r="BL63" i="3" s="1"/>
  <c r="BJ67" i="3"/>
  <c r="BI67" i="3"/>
  <c r="CL67" i="3" s="1"/>
  <c r="BA67" i="3"/>
  <c r="AY67" i="3"/>
  <c r="AV67" i="3"/>
  <c r="AT67" i="3"/>
  <c r="AR67" i="3"/>
  <c r="AN67" i="3"/>
  <c r="AI67" i="3"/>
  <c r="BC67" i="3" s="1"/>
  <c r="AF67" i="3"/>
  <c r="AE67" i="3"/>
  <c r="AD67" i="3"/>
  <c r="Z67" i="3"/>
  <c r="Y67" i="3"/>
  <c r="AG67" i="3" s="1"/>
  <c r="AK67" i="3" s="1"/>
  <c r="BE67" i="3" s="1"/>
  <c r="V67" i="3"/>
  <c r="Q67" i="3"/>
  <c r="P67" i="3"/>
  <c r="R67" i="3" s="1"/>
  <c r="O67" i="3"/>
  <c r="CN67" i="3" s="1"/>
  <c r="N67" i="3"/>
  <c r="J67" i="3"/>
  <c r="F67" i="3"/>
  <c r="CL66" i="3"/>
  <c r="CK66" i="3"/>
  <c r="CJ66" i="3"/>
  <c r="BU66" i="3"/>
  <c r="BY66" i="3" s="1"/>
  <c r="BT66" i="3"/>
  <c r="BX66" i="3" s="1"/>
  <c r="BS66" i="3"/>
  <c r="BW66" i="3" s="1"/>
  <c r="BR66" i="3"/>
  <c r="CM66" i="3" s="1"/>
  <c r="BN66" i="3"/>
  <c r="BJ66" i="3"/>
  <c r="BB66" i="3"/>
  <c r="BA66" i="3"/>
  <c r="AZ66" i="3"/>
  <c r="AY66" i="3"/>
  <c r="AX66" i="3"/>
  <c r="AT66" i="3"/>
  <c r="AP66" i="3"/>
  <c r="AG66" i="3"/>
  <c r="CP66" i="3" s="1"/>
  <c r="AF66" i="3"/>
  <c r="AH66" i="3" s="1"/>
  <c r="AE66" i="3"/>
  <c r="AD66" i="3"/>
  <c r="Z66" i="3"/>
  <c r="V66" i="3"/>
  <c r="Q66" i="3"/>
  <c r="P66" i="3"/>
  <c r="AJ66" i="3" s="1"/>
  <c r="O66" i="3"/>
  <c r="CN66" i="3" s="1"/>
  <c r="N66" i="3"/>
  <c r="J66" i="3"/>
  <c r="F66" i="3"/>
  <c r="F63" i="3" s="1"/>
  <c r="CL65" i="3"/>
  <c r="CK65" i="3"/>
  <c r="CJ65" i="3"/>
  <c r="BU65" i="3"/>
  <c r="BT65" i="3"/>
  <c r="BS65" i="3"/>
  <c r="BW65" i="3" s="1"/>
  <c r="BR65" i="3"/>
  <c r="CM65" i="3" s="1"/>
  <c r="BN65" i="3"/>
  <c r="BJ65" i="3"/>
  <c r="BB65" i="3"/>
  <c r="AY65" i="3"/>
  <c r="AX65" i="3"/>
  <c r="AW65" i="3"/>
  <c r="AW63" i="3" s="1"/>
  <c r="AV65" i="3"/>
  <c r="AT65" i="3"/>
  <c r="AP65" i="3"/>
  <c r="AO65" i="3"/>
  <c r="BA65" i="3" s="1"/>
  <c r="BA63" i="3" s="1"/>
  <c r="AN65" i="3"/>
  <c r="AZ65" i="3" s="1"/>
  <c r="AG65" i="3"/>
  <c r="AF65" i="3"/>
  <c r="AH65" i="3" s="1"/>
  <c r="AE65" i="3"/>
  <c r="AD65" i="3"/>
  <c r="Z65" i="3"/>
  <c r="Z63" i="3" s="1"/>
  <c r="V65" i="3"/>
  <c r="Q65" i="3"/>
  <c r="P65" i="3"/>
  <c r="O65" i="3"/>
  <c r="CN65" i="3" s="1"/>
  <c r="N65" i="3"/>
  <c r="J65" i="3"/>
  <c r="F65" i="3"/>
  <c r="CJ64" i="3"/>
  <c r="BS64" i="3"/>
  <c r="BW64" i="3" s="1"/>
  <c r="BR64" i="3"/>
  <c r="BQ64" i="3"/>
  <c r="CL64" i="3" s="1"/>
  <c r="BP64" i="3"/>
  <c r="CK64" i="3" s="1"/>
  <c r="CK63" i="3" s="1"/>
  <c r="BN64" i="3"/>
  <c r="BJ64" i="3"/>
  <c r="CM64" i="3" s="1"/>
  <c r="BA64" i="3"/>
  <c r="AZ64" i="3"/>
  <c r="AY64" i="3"/>
  <c r="AX64" i="3"/>
  <c r="AV64" i="3"/>
  <c r="AT64" i="3"/>
  <c r="AT63" i="3" s="1"/>
  <c r="AP64" i="3"/>
  <c r="AJ64" i="3"/>
  <c r="AG64" i="3"/>
  <c r="AK64" i="3" s="1"/>
  <c r="BE64" i="3" s="1"/>
  <c r="AF64" i="3"/>
  <c r="AE64" i="3"/>
  <c r="AD64" i="3"/>
  <c r="Z64" i="3"/>
  <c r="V64" i="3"/>
  <c r="R64" i="3"/>
  <c r="Q64" i="3"/>
  <c r="CP64" i="3" s="1"/>
  <c r="P64" i="3"/>
  <c r="O64" i="3"/>
  <c r="N64" i="3"/>
  <c r="J64" i="3"/>
  <c r="F64" i="3"/>
  <c r="CL63" i="3"/>
  <c r="BR63" i="3"/>
  <c r="BQ63" i="3"/>
  <c r="BP63" i="3"/>
  <c r="BO63" i="3"/>
  <c r="BM63" i="3"/>
  <c r="BK63" i="3"/>
  <c r="BJ63" i="3"/>
  <c r="BI63" i="3"/>
  <c r="BH63" i="3"/>
  <c r="BG63" i="3"/>
  <c r="AU63" i="3"/>
  <c r="AS63" i="3"/>
  <c r="AR63" i="3"/>
  <c r="AQ63" i="3"/>
  <c r="AO63" i="3"/>
  <c r="AM63" i="3"/>
  <c r="AC63" i="3"/>
  <c r="AB63" i="3"/>
  <c r="AA63" i="3"/>
  <c r="X63" i="3"/>
  <c r="W63" i="3"/>
  <c r="V63" i="3"/>
  <c r="U63" i="3"/>
  <c r="T63" i="3"/>
  <c r="S63" i="3"/>
  <c r="M63" i="3"/>
  <c r="K63" i="3"/>
  <c r="I63" i="3"/>
  <c r="G63" i="3"/>
  <c r="E63" i="3"/>
  <c r="D63" i="3"/>
  <c r="C63" i="3"/>
  <c r="CM62" i="3"/>
  <c r="CL62" i="3"/>
  <c r="CK62" i="3"/>
  <c r="CJ62" i="3"/>
  <c r="BV62" i="3"/>
  <c r="BU62" i="3"/>
  <c r="BY62" i="3" s="1"/>
  <c r="CC62" i="3" s="1"/>
  <c r="BT62" i="3"/>
  <c r="BS62" i="3"/>
  <c r="BW62" i="3" s="1"/>
  <c r="BR62" i="3"/>
  <c r="BN62" i="3"/>
  <c r="BJ62" i="3"/>
  <c r="BD62" i="3"/>
  <c r="BF62" i="3" s="1"/>
  <c r="BA62" i="3"/>
  <c r="CP62" i="3" s="1"/>
  <c r="AZ62" i="3"/>
  <c r="BB62" i="3" s="1"/>
  <c r="AY62" i="3"/>
  <c r="AX62" i="3"/>
  <c r="AT62" i="3"/>
  <c r="AP62" i="3"/>
  <c r="AI62" i="3"/>
  <c r="BC62" i="3" s="1"/>
  <c r="AG62" i="3"/>
  <c r="AK62" i="3" s="1"/>
  <c r="BE62" i="3" s="1"/>
  <c r="AF62" i="3"/>
  <c r="AJ62" i="3" s="1"/>
  <c r="AL62" i="3" s="1"/>
  <c r="AE62" i="3"/>
  <c r="AD62" i="3"/>
  <c r="Z62" i="3"/>
  <c r="V62" i="3"/>
  <c r="Q62" i="3"/>
  <c r="P62" i="3"/>
  <c r="O62" i="3"/>
  <c r="CN62" i="3" s="1"/>
  <c r="N62" i="3"/>
  <c r="J62" i="3"/>
  <c r="F62" i="3"/>
  <c r="CL61" i="3"/>
  <c r="CK61" i="3"/>
  <c r="CJ61" i="3"/>
  <c r="BV61" i="3"/>
  <c r="BU61" i="3"/>
  <c r="BY61" i="3" s="1"/>
  <c r="CC61" i="3" s="1"/>
  <c r="BT61" i="3"/>
  <c r="BS61" i="3"/>
  <c r="BW61" i="3" s="1"/>
  <c r="BR61" i="3"/>
  <c r="BN61" i="3"/>
  <c r="CM61" i="3" s="1"/>
  <c r="BJ61" i="3"/>
  <c r="BA61" i="3"/>
  <c r="CP61" i="3" s="1"/>
  <c r="AZ61" i="3"/>
  <c r="BB61" i="3" s="1"/>
  <c r="AY61" i="3"/>
  <c r="AX61" i="3"/>
  <c r="AT61" i="3"/>
  <c r="AP61" i="3"/>
  <c r="AG61" i="3"/>
  <c r="AK61" i="3" s="1"/>
  <c r="BE61" i="3" s="1"/>
  <c r="AF61" i="3"/>
  <c r="AE61" i="3"/>
  <c r="AD61" i="3"/>
  <c r="Z61" i="3"/>
  <c r="V61" i="3"/>
  <c r="Q61" i="3"/>
  <c r="P61" i="3"/>
  <c r="O61" i="3"/>
  <c r="N61" i="3"/>
  <c r="J61" i="3"/>
  <c r="F61" i="3"/>
  <c r="CL60" i="3"/>
  <c r="CK60" i="3"/>
  <c r="CJ60" i="3"/>
  <c r="BV60" i="3"/>
  <c r="BU60" i="3"/>
  <c r="BT60" i="3"/>
  <c r="BX60" i="3" s="1"/>
  <c r="BS60" i="3"/>
  <c r="BW60" i="3" s="1"/>
  <c r="BR60" i="3"/>
  <c r="BN60" i="3"/>
  <c r="CM60" i="3" s="1"/>
  <c r="BJ60" i="3"/>
  <c r="BA60" i="3"/>
  <c r="AZ60" i="3"/>
  <c r="BB60" i="3" s="1"/>
  <c r="AY60" i="3"/>
  <c r="AX60" i="3"/>
  <c r="AT60" i="3"/>
  <c r="AP60" i="3"/>
  <c r="AI60" i="3"/>
  <c r="BC60" i="3" s="1"/>
  <c r="AG60" i="3"/>
  <c r="AK60" i="3" s="1"/>
  <c r="AF60" i="3"/>
  <c r="AE60" i="3"/>
  <c r="AD60" i="3"/>
  <c r="Z60" i="3"/>
  <c r="V60" i="3"/>
  <c r="Q60" i="3"/>
  <c r="P60" i="3"/>
  <c r="O60" i="3"/>
  <c r="N60" i="3"/>
  <c r="J60" i="3"/>
  <c r="F60" i="3"/>
  <c r="CL59" i="3"/>
  <c r="CK59" i="3"/>
  <c r="CJ59" i="3"/>
  <c r="BV59" i="3"/>
  <c r="BU59" i="3"/>
  <c r="BY59" i="3" s="1"/>
  <c r="CC59" i="3" s="1"/>
  <c r="BT59" i="3"/>
  <c r="BS59" i="3"/>
  <c r="BW59" i="3" s="1"/>
  <c r="BR59" i="3"/>
  <c r="BN59" i="3"/>
  <c r="CM59" i="3" s="1"/>
  <c r="BJ59" i="3"/>
  <c r="BA59" i="3"/>
  <c r="AZ59" i="3"/>
  <c r="BB59" i="3" s="1"/>
  <c r="AY59" i="3"/>
  <c r="AX59" i="3"/>
  <c r="AT59" i="3"/>
  <c r="AP59" i="3"/>
  <c r="AG59" i="3"/>
  <c r="AK59" i="3" s="1"/>
  <c r="BE59" i="3" s="1"/>
  <c r="AF59" i="3"/>
  <c r="AE59" i="3"/>
  <c r="AD59" i="3"/>
  <c r="Z59" i="3"/>
  <c r="V59" i="3"/>
  <c r="Q59" i="3"/>
  <c r="P59" i="3"/>
  <c r="O59" i="3"/>
  <c r="N59" i="3"/>
  <c r="J59" i="3"/>
  <c r="F59" i="3"/>
  <c r="CL58" i="3"/>
  <c r="CK58" i="3"/>
  <c r="CJ58" i="3"/>
  <c r="BV58" i="3"/>
  <c r="BU58" i="3"/>
  <c r="BT58" i="3"/>
  <c r="BX58" i="3" s="1"/>
  <c r="BZ58" i="3" s="1"/>
  <c r="BS58" i="3"/>
  <c r="BW58" i="3" s="1"/>
  <c r="BR58" i="3"/>
  <c r="BN58" i="3"/>
  <c r="CM58" i="3" s="1"/>
  <c r="BJ58" i="3"/>
  <c r="BA58" i="3"/>
  <c r="CP58" i="3" s="1"/>
  <c r="AZ58" i="3"/>
  <c r="BB58" i="3" s="1"/>
  <c r="AY58" i="3"/>
  <c r="AX58" i="3"/>
  <c r="AT58" i="3"/>
  <c r="AP58" i="3"/>
  <c r="AI58" i="3"/>
  <c r="BC58" i="3" s="1"/>
  <c r="AG58" i="3"/>
  <c r="AK58" i="3" s="1"/>
  <c r="AF58" i="3"/>
  <c r="AE58" i="3"/>
  <c r="AD58" i="3"/>
  <c r="Z58" i="3"/>
  <c r="V58" i="3"/>
  <c r="Q58" i="3"/>
  <c r="P58" i="3"/>
  <c r="O58" i="3"/>
  <c r="N58" i="3"/>
  <c r="J58" i="3"/>
  <c r="F58" i="3"/>
  <c r="CL57" i="3"/>
  <c r="CK57" i="3"/>
  <c r="CJ57" i="3"/>
  <c r="BV57" i="3"/>
  <c r="BU57" i="3"/>
  <c r="BY57" i="3" s="1"/>
  <c r="CC57" i="3" s="1"/>
  <c r="BT57" i="3"/>
  <c r="BS57" i="3"/>
  <c r="BW57" i="3" s="1"/>
  <c r="BR57" i="3"/>
  <c r="BN57" i="3"/>
  <c r="CM57" i="3" s="1"/>
  <c r="BJ57" i="3"/>
  <c r="BA57" i="3"/>
  <c r="CP57" i="3" s="1"/>
  <c r="AZ57" i="3"/>
  <c r="BB57" i="3" s="1"/>
  <c r="AY57" i="3"/>
  <c r="AX57" i="3"/>
  <c r="AT57" i="3"/>
  <c r="AP57" i="3"/>
  <c r="AG57" i="3"/>
  <c r="AK57" i="3" s="1"/>
  <c r="BE57" i="3" s="1"/>
  <c r="AF57" i="3"/>
  <c r="AE57" i="3"/>
  <c r="AD57" i="3"/>
  <c r="Z57" i="3"/>
  <c r="V57" i="3"/>
  <c r="Q57" i="3"/>
  <c r="P57" i="3"/>
  <c r="O57" i="3"/>
  <c r="N57" i="3"/>
  <c r="J57" i="3"/>
  <c r="F57" i="3"/>
  <c r="CQ56" i="3"/>
  <c r="CM56" i="3"/>
  <c r="CL56" i="3"/>
  <c r="CK56" i="3"/>
  <c r="CO56" i="3" s="1"/>
  <c r="CJ56" i="3"/>
  <c r="CN56" i="3" s="1"/>
  <c r="J56" i="3"/>
  <c r="CJ55" i="3"/>
  <c r="CN55" i="3" s="1"/>
  <c r="BQ55" i="3"/>
  <c r="BP55" i="3"/>
  <c r="BO55" i="3"/>
  <c r="BR55" i="3" s="1"/>
  <c r="BN55" i="3"/>
  <c r="BM55" i="3"/>
  <c r="BL55" i="3"/>
  <c r="BJ55" i="3"/>
  <c r="BI55" i="3"/>
  <c r="BU55" i="3" s="1"/>
  <c r="BH55" i="3"/>
  <c r="BT55" i="3" s="1"/>
  <c r="AY55" i="3"/>
  <c r="AW55" i="3"/>
  <c r="BA55" i="3" s="1"/>
  <c r="AV55" i="3"/>
  <c r="AX55" i="3" s="1"/>
  <c r="AS55" i="3"/>
  <c r="AR55" i="3"/>
  <c r="AT55" i="3" s="1"/>
  <c r="AP55" i="3"/>
  <c r="AO55" i="3"/>
  <c r="AN55" i="3"/>
  <c r="AG55" i="3"/>
  <c r="AE55" i="3"/>
  <c r="AI55" i="3" s="1"/>
  <c r="BC55" i="3" s="1"/>
  <c r="AD55" i="3"/>
  <c r="AC55" i="3"/>
  <c r="AB55" i="3"/>
  <c r="Z55" i="3"/>
  <c r="V55" i="3"/>
  <c r="U55" i="3"/>
  <c r="T55" i="3"/>
  <c r="AF55" i="3" s="1"/>
  <c r="P55" i="3"/>
  <c r="O55" i="3"/>
  <c r="M55" i="3"/>
  <c r="Q55" i="3" s="1"/>
  <c r="L55" i="3"/>
  <c r="N55" i="3" s="1"/>
  <c r="I55" i="3"/>
  <c r="H55" i="3"/>
  <c r="J55" i="3" s="1"/>
  <c r="F55" i="3"/>
  <c r="E55" i="3"/>
  <c r="D55" i="3"/>
  <c r="CL54" i="3"/>
  <c r="CK54" i="3"/>
  <c r="CJ54" i="3"/>
  <c r="BY54" i="3"/>
  <c r="CC54" i="3" s="1"/>
  <c r="BV54" i="3"/>
  <c r="BU54" i="3"/>
  <c r="BT54" i="3"/>
  <c r="BS54" i="3"/>
  <c r="BW54" i="3" s="1"/>
  <c r="BR54" i="3"/>
  <c r="BN54" i="3"/>
  <c r="CM54" i="3" s="1"/>
  <c r="BJ54" i="3"/>
  <c r="BE54" i="3"/>
  <c r="BA54" i="3"/>
  <c r="CP54" i="3" s="1"/>
  <c r="AZ54" i="3"/>
  <c r="BB54" i="3" s="1"/>
  <c r="AY54" i="3"/>
  <c r="AX54" i="3"/>
  <c r="AT54" i="3"/>
  <c r="AP54" i="3"/>
  <c r="AG54" i="3"/>
  <c r="AK54" i="3" s="1"/>
  <c r="AF54" i="3"/>
  <c r="AE54" i="3"/>
  <c r="AD54" i="3"/>
  <c r="Z54" i="3"/>
  <c r="V54" i="3"/>
  <c r="Q54" i="3"/>
  <c r="P54" i="3"/>
  <c r="O54" i="3"/>
  <c r="CN54" i="3" s="1"/>
  <c r="N54" i="3"/>
  <c r="J54" i="3"/>
  <c r="F54" i="3"/>
  <c r="CM53" i="3"/>
  <c r="CL53" i="3"/>
  <c r="CK53" i="3"/>
  <c r="CK51" i="3" s="1"/>
  <c r="CJ53" i="3"/>
  <c r="BX53" i="3"/>
  <c r="BU53" i="3"/>
  <c r="BT53" i="3"/>
  <c r="BV53" i="3" s="1"/>
  <c r="BS53" i="3"/>
  <c r="BR53" i="3"/>
  <c r="BN53" i="3"/>
  <c r="BJ53" i="3"/>
  <c r="BA53" i="3"/>
  <c r="BY53" i="3" s="1"/>
  <c r="AZ53" i="3"/>
  <c r="AY53" i="3"/>
  <c r="AX53" i="3"/>
  <c r="AT53" i="3"/>
  <c r="AP53" i="3"/>
  <c r="AP51" i="3" s="1"/>
  <c r="AH53" i="3"/>
  <c r="AF53" i="3"/>
  <c r="AE53" i="3"/>
  <c r="AD53" i="3"/>
  <c r="AC53" i="3"/>
  <c r="AG53" i="3" s="1"/>
  <c r="Z53" i="3"/>
  <c r="V53" i="3"/>
  <c r="P53" i="3"/>
  <c r="CO53" i="3" s="1"/>
  <c r="O53" i="3"/>
  <c r="AI53" i="3" s="1"/>
  <c r="BC53" i="3" s="1"/>
  <c r="N53" i="3"/>
  <c r="J53" i="3"/>
  <c r="I53" i="3"/>
  <c r="Q53" i="3" s="1"/>
  <c r="CP53" i="3" s="1"/>
  <c r="F53" i="3"/>
  <c r="CM52" i="3"/>
  <c r="CL52" i="3"/>
  <c r="CK52" i="3"/>
  <c r="CJ52" i="3"/>
  <c r="CJ51" i="3" s="1"/>
  <c r="BV52" i="3"/>
  <c r="BU52" i="3"/>
  <c r="BY52" i="3" s="1"/>
  <c r="BT52" i="3"/>
  <c r="BT51" i="3" s="1"/>
  <c r="BS52" i="3"/>
  <c r="BR52" i="3"/>
  <c r="BR51" i="3" s="1"/>
  <c r="BN52" i="3"/>
  <c r="BJ52" i="3"/>
  <c r="BJ51" i="3" s="1"/>
  <c r="BA52" i="3"/>
  <c r="AZ52" i="3"/>
  <c r="AY52" i="3"/>
  <c r="AY51" i="3" s="1"/>
  <c r="AX52" i="3"/>
  <c r="AX51" i="3" s="1"/>
  <c r="AT52" i="3"/>
  <c r="AP52" i="3"/>
  <c r="AG52" i="3"/>
  <c r="AF52" i="3"/>
  <c r="AJ52" i="3" s="1"/>
  <c r="BD52" i="3" s="1"/>
  <c r="AE52" i="3"/>
  <c r="AD52" i="3"/>
  <c r="AD51" i="3" s="1"/>
  <c r="Z52" i="3"/>
  <c r="Z51" i="3" s="1"/>
  <c r="V52" i="3"/>
  <c r="V51" i="3" s="1"/>
  <c r="P52" i="3"/>
  <c r="O52" i="3"/>
  <c r="CN52" i="3" s="1"/>
  <c r="N52" i="3"/>
  <c r="J52" i="3"/>
  <c r="J51" i="3" s="1"/>
  <c r="F52" i="3"/>
  <c r="F51" i="3" s="1"/>
  <c r="E52" i="3"/>
  <c r="Q52" i="3" s="1"/>
  <c r="CP52" i="3" s="1"/>
  <c r="CL51" i="3"/>
  <c r="BU51" i="3"/>
  <c r="BS51" i="3"/>
  <c r="BQ51" i="3"/>
  <c r="BP51" i="3"/>
  <c r="BO51" i="3"/>
  <c r="BM51" i="3"/>
  <c r="BL51" i="3"/>
  <c r="BK51" i="3"/>
  <c r="BI51" i="3"/>
  <c r="BH51" i="3"/>
  <c r="BG51" i="3"/>
  <c r="AZ51" i="3"/>
  <c r="AW51" i="3"/>
  <c r="AV51" i="3"/>
  <c r="AU51" i="3"/>
  <c r="AS51" i="3"/>
  <c r="AR51" i="3"/>
  <c r="AQ51" i="3"/>
  <c r="AQ39" i="3" s="1"/>
  <c r="AQ33" i="3" s="1"/>
  <c r="AQ32" i="3" s="1"/>
  <c r="AO51" i="3"/>
  <c r="AN51" i="3"/>
  <c r="AM51" i="3"/>
  <c r="AE51" i="3"/>
  <c r="AC51" i="3"/>
  <c r="AB51" i="3"/>
  <c r="AA51" i="3"/>
  <c r="Y51" i="3"/>
  <c r="Y39" i="3" s="1"/>
  <c r="X51" i="3"/>
  <c r="W51" i="3"/>
  <c r="U51" i="3"/>
  <c r="T51" i="3"/>
  <c r="S51" i="3"/>
  <c r="O51" i="3"/>
  <c r="CN51" i="3" s="1"/>
  <c r="M51" i="3"/>
  <c r="L51" i="3"/>
  <c r="N51" i="3" s="1"/>
  <c r="K51" i="3"/>
  <c r="I51" i="3"/>
  <c r="H51" i="3"/>
  <c r="G51" i="3"/>
  <c r="D51" i="3"/>
  <c r="C51" i="3"/>
  <c r="CN50" i="3"/>
  <c r="CJ50" i="3"/>
  <c r="BT50" i="3"/>
  <c r="BV50" i="3" s="1"/>
  <c r="BS50" i="3"/>
  <c r="BW50" i="3" s="1"/>
  <c r="BQ50" i="3"/>
  <c r="BP50" i="3"/>
  <c r="BR50" i="3" s="1"/>
  <c r="BN50" i="3"/>
  <c r="BM50" i="3"/>
  <c r="BL50" i="3"/>
  <c r="CK50" i="3" s="1"/>
  <c r="BJ50" i="3"/>
  <c r="BI50" i="3"/>
  <c r="CL50" i="3" s="1"/>
  <c r="BH50" i="3"/>
  <c r="AY50" i="3"/>
  <c r="AW50" i="3"/>
  <c r="AW48" i="3" s="1"/>
  <c r="AW39" i="3" s="1"/>
  <c r="AV50" i="3"/>
  <c r="AX50" i="3" s="1"/>
  <c r="AS50" i="3"/>
  <c r="AS48" i="3" s="1"/>
  <c r="AS39" i="3" s="1"/>
  <c r="AR50" i="3"/>
  <c r="AT50" i="3" s="1"/>
  <c r="AO50" i="3"/>
  <c r="AN50" i="3"/>
  <c r="AP50" i="3" s="1"/>
  <c r="AE50" i="3"/>
  <c r="AI50" i="3" s="1"/>
  <c r="AD50" i="3"/>
  <c r="AC50" i="3"/>
  <c r="AC48" i="3" s="1"/>
  <c r="AC39" i="3" s="1"/>
  <c r="AB50" i="3"/>
  <c r="Y50" i="3"/>
  <c r="X50" i="3"/>
  <c r="Z50" i="3" s="1"/>
  <c r="U50" i="3"/>
  <c r="AG50" i="3" s="1"/>
  <c r="T50" i="3"/>
  <c r="O50" i="3"/>
  <c r="M50" i="3"/>
  <c r="L50" i="3"/>
  <c r="N50" i="3" s="1"/>
  <c r="J50" i="3"/>
  <c r="I50" i="3"/>
  <c r="I48" i="3" s="1"/>
  <c r="H50" i="3"/>
  <c r="F50" i="3"/>
  <c r="E50" i="3"/>
  <c r="D50" i="3"/>
  <c r="CJ49" i="3"/>
  <c r="CJ48" i="3" s="1"/>
  <c r="BS49" i="3"/>
  <c r="BQ49" i="3"/>
  <c r="BQ48" i="3" s="1"/>
  <c r="BQ39" i="3" s="1"/>
  <c r="BP49" i="3"/>
  <c r="BR49" i="3" s="1"/>
  <c r="BN49" i="3"/>
  <c r="BM49" i="3"/>
  <c r="BL49" i="3"/>
  <c r="BH49" i="3"/>
  <c r="BH48" i="3" s="1"/>
  <c r="AY49" i="3"/>
  <c r="BW49" i="3" s="1"/>
  <c r="CA49" i="3" s="1"/>
  <c r="AW49" i="3"/>
  <c r="AV49" i="3"/>
  <c r="AX49" i="3" s="1"/>
  <c r="AT49" i="3"/>
  <c r="AR49" i="3"/>
  <c r="AP49" i="3"/>
  <c r="AO49" i="3"/>
  <c r="AO48" i="3" s="1"/>
  <c r="AN49" i="3"/>
  <c r="AZ49" i="3" s="1"/>
  <c r="BB49" i="3" s="1"/>
  <c r="AI49" i="3"/>
  <c r="BC49" i="3" s="1"/>
  <c r="AG49" i="3"/>
  <c r="AE49" i="3"/>
  <c r="AB49" i="3"/>
  <c r="AD49" i="3" s="1"/>
  <c r="Z49" i="3"/>
  <c r="V49" i="3"/>
  <c r="O49" i="3"/>
  <c r="CN49" i="3" s="1"/>
  <c r="M49" i="3"/>
  <c r="M48" i="3" s="1"/>
  <c r="L49" i="3"/>
  <c r="P49" i="3" s="1"/>
  <c r="I49" i="3"/>
  <c r="H49" i="3"/>
  <c r="J49" i="3" s="1"/>
  <c r="E49" i="3"/>
  <c r="E48" i="3" s="1"/>
  <c r="D49" i="3"/>
  <c r="F49" i="3" s="1"/>
  <c r="BR48" i="3"/>
  <c r="BP48" i="3"/>
  <c r="BO48" i="3"/>
  <c r="BN48" i="3"/>
  <c r="BM48" i="3"/>
  <c r="BL48" i="3"/>
  <c r="BK48" i="3"/>
  <c r="BG48" i="3"/>
  <c r="BS48" i="3" s="1"/>
  <c r="AU48" i="3"/>
  <c r="AT48" i="3"/>
  <c r="AR48" i="3"/>
  <c r="AQ48" i="3"/>
  <c r="AM48" i="3"/>
  <c r="AY48" i="3" s="1"/>
  <c r="AA48" i="3"/>
  <c r="Y48" i="3"/>
  <c r="W48" i="3"/>
  <c r="V48" i="3"/>
  <c r="U48" i="3"/>
  <c r="T48" i="3"/>
  <c r="S48" i="3"/>
  <c r="AE48" i="3" s="1"/>
  <c r="K48" i="3"/>
  <c r="O48" i="3" s="1"/>
  <c r="CN48" i="3" s="1"/>
  <c r="G48" i="3"/>
  <c r="F48" i="3"/>
  <c r="D48" i="3"/>
  <c r="C48" i="3"/>
  <c r="BU47" i="3"/>
  <c r="BY47" i="3" s="1"/>
  <c r="BT47" i="3"/>
  <c r="BV47" i="3" s="1"/>
  <c r="BS47" i="3"/>
  <c r="BW47" i="3" s="1"/>
  <c r="BR47" i="3"/>
  <c r="BN47" i="3"/>
  <c r="BJ47" i="3"/>
  <c r="BA47" i="3"/>
  <c r="AZ47" i="3"/>
  <c r="BB47" i="3" s="1"/>
  <c r="AY47" i="3"/>
  <c r="AX47" i="3"/>
  <c r="AT47" i="3"/>
  <c r="AP47" i="3"/>
  <c r="AH47" i="3"/>
  <c r="AG47" i="3"/>
  <c r="AK47" i="3" s="1"/>
  <c r="AF47" i="3"/>
  <c r="CO47" i="3" s="1"/>
  <c r="AE47" i="3"/>
  <c r="AI47" i="3" s="1"/>
  <c r="BC47" i="3" s="1"/>
  <c r="AD47" i="3"/>
  <c r="Z47" i="3"/>
  <c r="V47" i="3"/>
  <c r="Q47" i="3"/>
  <c r="CP47" i="3" s="1"/>
  <c r="P47" i="3"/>
  <c r="O47" i="3"/>
  <c r="CN47" i="3" s="1"/>
  <c r="N47" i="3"/>
  <c r="J47" i="3"/>
  <c r="F47" i="3"/>
  <c r="CO46" i="3"/>
  <c r="BU46" i="3"/>
  <c r="BY46" i="3" s="1"/>
  <c r="BT46" i="3"/>
  <c r="BV46" i="3" s="1"/>
  <c r="BS46" i="3"/>
  <c r="BW46" i="3" s="1"/>
  <c r="BR46" i="3"/>
  <c r="BN46" i="3"/>
  <c r="BJ46" i="3"/>
  <c r="BA46" i="3"/>
  <c r="AZ46" i="3"/>
  <c r="BB46" i="3" s="1"/>
  <c r="AY46" i="3"/>
  <c r="AX46" i="3"/>
  <c r="AT46" i="3"/>
  <c r="AP46" i="3"/>
  <c r="AH46" i="3"/>
  <c r="AG46" i="3"/>
  <c r="AK46" i="3" s="1"/>
  <c r="AF46" i="3"/>
  <c r="AJ46" i="3" s="1"/>
  <c r="AE46" i="3"/>
  <c r="AI46" i="3" s="1"/>
  <c r="BC46" i="3" s="1"/>
  <c r="AD46" i="3"/>
  <c r="Z46" i="3"/>
  <c r="V46" i="3"/>
  <c r="Q46" i="3"/>
  <c r="BE46" i="3" s="1"/>
  <c r="P46" i="3"/>
  <c r="R46" i="3" s="1"/>
  <c r="O46" i="3"/>
  <c r="CN46" i="3" s="1"/>
  <c r="N46" i="3"/>
  <c r="J46" i="3"/>
  <c r="F46" i="3"/>
  <c r="CL45" i="3"/>
  <c r="CK45" i="3"/>
  <c r="CJ45" i="3"/>
  <c r="BU45" i="3"/>
  <c r="BT45" i="3"/>
  <c r="BV45" i="3" s="1"/>
  <c r="BS45" i="3"/>
  <c r="BW45" i="3" s="1"/>
  <c r="BR45" i="3"/>
  <c r="BP45" i="3"/>
  <c r="BN45" i="3"/>
  <c r="CM45" i="3" s="1"/>
  <c r="BJ45" i="3"/>
  <c r="AY45" i="3"/>
  <c r="AW45" i="3"/>
  <c r="AV45" i="3"/>
  <c r="AX45" i="3" s="1"/>
  <c r="AR45" i="3"/>
  <c r="AT45" i="3" s="1"/>
  <c r="AP45" i="3"/>
  <c r="AO45" i="3"/>
  <c r="AO39" i="3" s="1"/>
  <c r="AG45" i="3"/>
  <c r="AF45" i="3"/>
  <c r="AH45" i="3" s="1"/>
  <c r="AE45" i="3"/>
  <c r="AI45" i="3" s="1"/>
  <c r="BC45" i="3" s="1"/>
  <c r="AD45" i="3"/>
  <c r="Z45" i="3"/>
  <c r="V45" i="3"/>
  <c r="O45" i="3"/>
  <c r="CN45" i="3" s="1"/>
  <c r="N45" i="3"/>
  <c r="M45" i="3"/>
  <c r="Q45" i="3" s="1"/>
  <c r="L45" i="3"/>
  <c r="P45" i="3" s="1"/>
  <c r="J45" i="3"/>
  <c r="I45" i="3"/>
  <c r="H45" i="3"/>
  <c r="F45" i="3"/>
  <c r="CL44" i="3"/>
  <c r="CP44" i="3" s="1"/>
  <c r="CK44" i="3"/>
  <c r="CJ44" i="3"/>
  <c r="BU44" i="3"/>
  <c r="BY44" i="3" s="1"/>
  <c r="BT44" i="3"/>
  <c r="BX44" i="3" s="1"/>
  <c r="BS44" i="3"/>
  <c r="BW44" i="3" s="1"/>
  <c r="BR44" i="3"/>
  <c r="BN44" i="3"/>
  <c r="BJ44" i="3"/>
  <c r="CM44" i="3" s="1"/>
  <c r="BA44" i="3"/>
  <c r="AZ44" i="3"/>
  <c r="BB44" i="3" s="1"/>
  <c r="AY44" i="3"/>
  <c r="AX44" i="3"/>
  <c r="AT44" i="3"/>
  <c r="AP44" i="3"/>
  <c r="AG44" i="3"/>
  <c r="AK44" i="3" s="1"/>
  <c r="AF44" i="3"/>
  <c r="AH44" i="3" s="1"/>
  <c r="AE44" i="3"/>
  <c r="CN44" i="3" s="1"/>
  <c r="AD44" i="3"/>
  <c r="Z44" i="3"/>
  <c r="V44" i="3"/>
  <c r="R44" i="3"/>
  <c r="Q44" i="3"/>
  <c r="BE44" i="3" s="1"/>
  <c r="P44" i="3"/>
  <c r="CO44" i="3" s="1"/>
  <c r="O44" i="3"/>
  <c r="N44" i="3"/>
  <c r="J44" i="3"/>
  <c r="F44" i="3"/>
  <c r="CJ43" i="3"/>
  <c r="BV43" i="3"/>
  <c r="BU43" i="3"/>
  <c r="BY43" i="3" s="1"/>
  <c r="CC43" i="3" s="1"/>
  <c r="BT43" i="3"/>
  <c r="BX43" i="3" s="1"/>
  <c r="BS43" i="3"/>
  <c r="BW43" i="3" s="1"/>
  <c r="CA43" i="3" s="1"/>
  <c r="BR43" i="3"/>
  <c r="BN43" i="3"/>
  <c r="BJ43" i="3"/>
  <c r="BA43" i="3"/>
  <c r="AZ43" i="3"/>
  <c r="BD43" i="3" s="1"/>
  <c r="AY43" i="3"/>
  <c r="AX43" i="3"/>
  <c r="AT43" i="3"/>
  <c r="AP43" i="3"/>
  <c r="AH43" i="3"/>
  <c r="AG43" i="3"/>
  <c r="AF43" i="3"/>
  <c r="AE43" i="3"/>
  <c r="AI43" i="3" s="1"/>
  <c r="AD43" i="3"/>
  <c r="Z43" i="3"/>
  <c r="V43" i="3"/>
  <c r="Q43" i="3"/>
  <c r="CP43" i="3" s="1"/>
  <c r="P43" i="3"/>
  <c r="CO43" i="3" s="1"/>
  <c r="O43" i="3"/>
  <c r="CN43" i="3" s="1"/>
  <c r="N43" i="3"/>
  <c r="J43" i="3"/>
  <c r="F43" i="3"/>
  <c r="CJ42" i="3"/>
  <c r="BU42" i="3"/>
  <c r="BY42" i="3" s="1"/>
  <c r="BT42" i="3"/>
  <c r="BX42" i="3" s="1"/>
  <c r="BS42" i="3"/>
  <c r="BW42" i="3" s="1"/>
  <c r="BR42" i="3"/>
  <c r="BN42" i="3"/>
  <c r="BJ42" i="3"/>
  <c r="BA42" i="3"/>
  <c r="AZ42" i="3"/>
  <c r="BB42" i="3" s="1"/>
  <c r="AY42" i="3"/>
  <c r="AX42" i="3"/>
  <c r="AT42" i="3"/>
  <c r="AP42" i="3"/>
  <c r="AG42" i="3"/>
  <c r="AK42" i="3" s="1"/>
  <c r="AF42" i="3"/>
  <c r="AJ42" i="3" s="1"/>
  <c r="AE42" i="3"/>
  <c r="AH42" i="3" s="1"/>
  <c r="AD42" i="3"/>
  <c r="Z42" i="3"/>
  <c r="V42" i="3"/>
  <c r="R42" i="3"/>
  <c r="CQ42" i="3" s="1"/>
  <c r="Q42" i="3"/>
  <c r="CP42" i="3" s="1"/>
  <c r="P42" i="3"/>
  <c r="O42" i="3"/>
  <c r="CN42" i="3" s="1"/>
  <c r="N42" i="3"/>
  <c r="J42" i="3"/>
  <c r="F42" i="3"/>
  <c r="CL41" i="3"/>
  <c r="CK41" i="3"/>
  <c r="CJ41" i="3"/>
  <c r="CJ39" i="3" s="1"/>
  <c r="BY41" i="3"/>
  <c r="BU41" i="3"/>
  <c r="BT41" i="3"/>
  <c r="BX41" i="3" s="1"/>
  <c r="BS41" i="3"/>
  <c r="BW41" i="3" s="1"/>
  <c r="BR41" i="3"/>
  <c r="BN41" i="3"/>
  <c r="BJ41" i="3"/>
  <c r="CM41" i="3" s="1"/>
  <c r="BA41" i="3"/>
  <c r="AZ41" i="3"/>
  <c r="BB41" i="3" s="1"/>
  <c r="AY41" i="3"/>
  <c r="AX41" i="3"/>
  <c r="AT41" i="3"/>
  <c r="AP41" i="3"/>
  <c r="AG41" i="3"/>
  <c r="AF41" i="3"/>
  <c r="AE41" i="3"/>
  <c r="AH41" i="3" s="1"/>
  <c r="AD41" i="3"/>
  <c r="Z41" i="3"/>
  <c r="V41" i="3"/>
  <c r="O41" i="3"/>
  <c r="CN41" i="3" s="1"/>
  <c r="N41" i="3"/>
  <c r="M41" i="3"/>
  <c r="Q41" i="3" s="1"/>
  <c r="L41" i="3"/>
  <c r="P41" i="3" s="1"/>
  <c r="J41" i="3"/>
  <c r="I41" i="3"/>
  <c r="I39" i="3" s="1"/>
  <c r="F41" i="3"/>
  <c r="CL40" i="3"/>
  <c r="CK40" i="3"/>
  <c r="CO40" i="3" s="1"/>
  <c r="CJ40" i="3"/>
  <c r="BY40" i="3"/>
  <c r="BU40" i="3"/>
  <c r="BT40" i="3"/>
  <c r="BX40" i="3" s="1"/>
  <c r="BS40" i="3"/>
  <c r="BW40" i="3" s="1"/>
  <c r="BR40" i="3"/>
  <c r="BN40" i="3"/>
  <c r="BJ40" i="3"/>
  <c r="CM40" i="3" s="1"/>
  <c r="BA40" i="3"/>
  <c r="AZ40" i="3"/>
  <c r="BB40" i="3" s="1"/>
  <c r="AY40" i="3"/>
  <c r="AY39" i="3" s="1"/>
  <c r="AX40" i="3"/>
  <c r="AT40" i="3"/>
  <c r="AP40" i="3"/>
  <c r="AH40" i="3"/>
  <c r="AG40" i="3"/>
  <c r="AK40" i="3" s="1"/>
  <c r="AF40" i="3"/>
  <c r="AJ40" i="3" s="1"/>
  <c r="AE40" i="3"/>
  <c r="AE39" i="3" s="1"/>
  <c r="AD40" i="3"/>
  <c r="Z40" i="3"/>
  <c r="V40" i="3"/>
  <c r="R40" i="3"/>
  <c r="Q40" i="3"/>
  <c r="CP40" i="3" s="1"/>
  <c r="P40" i="3"/>
  <c r="O40" i="3"/>
  <c r="CN40" i="3" s="1"/>
  <c r="N40" i="3"/>
  <c r="J40" i="3"/>
  <c r="F40" i="3"/>
  <c r="BP39" i="3"/>
  <c r="BP33" i="3" s="1"/>
  <c r="BO39" i="3"/>
  <c r="BM39" i="3"/>
  <c r="BL39" i="3"/>
  <c r="BN39" i="3" s="1"/>
  <c r="BK39" i="3"/>
  <c r="BG39" i="3"/>
  <c r="BS39" i="3" s="1"/>
  <c r="AU39" i="3"/>
  <c r="AR39" i="3"/>
  <c r="AM39" i="3"/>
  <c r="AA39" i="3"/>
  <c r="W39" i="3"/>
  <c r="U39" i="3"/>
  <c r="T39" i="3"/>
  <c r="T33" i="3" s="1"/>
  <c r="S39" i="3"/>
  <c r="K39" i="3"/>
  <c r="O39" i="3" s="1"/>
  <c r="CN39" i="3" s="1"/>
  <c r="G39" i="3"/>
  <c r="D39" i="3"/>
  <c r="F39" i="3" s="1"/>
  <c r="C39" i="3"/>
  <c r="CL38" i="3"/>
  <c r="CP38" i="3" s="1"/>
  <c r="CK38" i="3"/>
  <c r="CO38" i="3" s="1"/>
  <c r="CJ38" i="3"/>
  <c r="BV38" i="3"/>
  <c r="BU38" i="3"/>
  <c r="BY38" i="3" s="1"/>
  <c r="CC38" i="3" s="1"/>
  <c r="BT38" i="3"/>
  <c r="BX38" i="3" s="1"/>
  <c r="BS38" i="3"/>
  <c r="BW38" i="3" s="1"/>
  <c r="BR38" i="3"/>
  <c r="BN38" i="3"/>
  <c r="BJ38" i="3"/>
  <c r="CM38" i="3" s="1"/>
  <c r="BE38" i="3"/>
  <c r="BD38" i="3"/>
  <c r="AY38" i="3"/>
  <c r="AX38" i="3"/>
  <c r="AT38" i="3"/>
  <c r="AP38" i="3"/>
  <c r="AH38" i="3"/>
  <c r="AE38" i="3"/>
  <c r="AD38" i="3"/>
  <c r="Z38" i="3"/>
  <c r="V38" i="3"/>
  <c r="Q38" i="3"/>
  <c r="P38" i="3"/>
  <c r="R38" i="3" s="1"/>
  <c r="CQ38" i="3" s="1"/>
  <c r="O38" i="3"/>
  <c r="CN38" i="3" s="1"/>
  <c r="K38" i="3"/>
  <c r="N38" i="3" s="1"/>
  <c r="J38" i="3"/>
  <c r="F38" i="3"/>
  <c r="CJ37" i="3"/>
  <c r="CN37" i="3" s="1"/>
  <c r="BS37" i="3"/>
  <c r="BW37" i="3" s="1"/>
  <c r="CA37" i="3" s="1"/>
  <c r="BQ37" i="3"/>
  <c r="BP37" i="3"/>
  <c r="BR37" i="3" s="1"/>
  <c r="BN37" i="3"/>
  <c r="BM37" i="3"/>
  <c r="BL37" i="3"/>
  <c r="BJ37" i="3"/>
  <c r="BI37" i="3"/>
  <c r="CL37" i="3" s="1"/>
  <c r="BH37" i="3"/>
  <c r="AY37" i="3"/>
  <c r="AW37" i="3"/>
  <c r="BA37" i="3" s="1"/>
  <c r="AV37" i="3"/>
  <c r="AX37" i="3" s="1"/>
  <c r="AR37" i="3"/>
  <c r="AT37" i="3" s="1"/>
  <c r="AP37" i="3"/>
  <c r="AO37" i="3"/>
  <c r="AN37" i="3"/>
  <c r="AE37" i="3"/>
  <c r="AI37" i="3" s="1"/>
  <c r="BC37" i="3" s="1"/>
  <c r="AD37" i="3"/>
  <c r="AC37" i="3"/>
  <c r="AB37" i="3"/>
  <c r="X37" i="3"/>
  <c r="Z37" i="3" s="1"/>
  <c r="U37" i="3"/>
  <c r="T37" i="3"/>
  <c r="AF37" i="3" s="1"/>
  <c r="O37" i="3"/>
  <c r="N37" i="3"/>
  <c r="M37" i="3"/>
  <c r="Q37" i="3" s="1"/>
  <c r="L37" i="3"/>
  <c r="P37" i="3" s="1"/>
  <c r="J37" i="3"/>
  <c r="I33" i="3"/>
  <c r="H37" i="3"/>
  <c r="E37" i="3"/>
  <c r="D37" i="3"/>
  <c r="F37" i="3" s="1"/>
  <c r="CK36" i="3"/>
  <c r="CJ36" i="3"/>
  <c r="BT36" i="3"/>
  <c r="BV36" i="3" s="1"/>
  <c r="BS36" i="3"/>
  <c r="BW36" i="3" s="1"/>
  <c r="BR36" i="3"/>
  <c r="BQ36" i="3"/>
  <c r="CL36" i="3" s="1"/>
  <c r="BN36" i="3"/>
  <c r="BJ36" i="3"/>
  <c r="CM36" i="3" s="1"/>
  <c r="BA36" i="3"/>
  <c r="AZ36" i="3"/>
  <c r="BB36" i="3" s="1"/>
  <c r="AY36" i="3"/>
  <c r="CN36" i="3" s="1"/>
  <c r="AX36" i="3"/>
  <c r="AT36" i="3"/>
  <c r="AP36" i="3"/>
  <c r="AH36" i="3"/>
  <c r="AG36" i="3"/>
  <c r="AF36" i="3"/>
  <c r="AJ36" i="3" s="1"/>
  <c r="AE36" i="3"/>
  <c r="AI36" i="3" s="1"/>
  <c r="BC36" i="3" s="1"/>
  <c r="AD36" i="3"/>
  <c r="Z36" i="3"/>
  <c r="V36" i="3"/>
  <c r="R36" i="3"/>
  <c r="CQ36" i="3" s="1"/>
  <c r="P36" i="3"/>
  <c r="O36" i="3"/>
  <c r="N36" i="3"/>
  <c r="M36" i="3"/>
  <c r="Q36" i="3" s="1"/>
  <c r="J36" i="3"/>
  <c r="F36" i="3"/>
  <c r="CL35" i="3"/>
  <c r="CJ35" i="3"/>
  <c r="BS35" i="3"/>
  <c r="BW35" i="3" s="1"/>
  <c r="CA35" i="3" s="1"/>
  <c r="BR35" i="3"/>
  <c r="BQ35" i="3"/>
  <c r="BU35" i="3" s="1"/>
  <c r="BY35" i="3" s="1"/>
  <c r="BP35" i="3"/>
  <c r="BM35" i="3"/>
  <c r="BL35" i="3"/>
  <c r="BN35" i="3" s="1"/>
  <c r="BI35" i="3"/>
  <c r="BH35" i="3"/>
  <c r="CK35" i="3" s="1"/>
  <c r="AY35" i="3"/>
  <c r="AX35" i="3"/>
  <c r="AW35" i="3"/>
  <c r="AV35" i="3"/>
  <c r="AT35" i="3"/>
  <c r="AS35" i="3"/>
  <c r="AR35" i="3"/>
  <c r="AO35" i="3"/>
  <c r="BA35" i="3" s="1"/>
  <c r="AN35" i="3"/>
  <c r="AZ35" i="3" s="1"/>
  <c r="BB35" i="3" s="1"/>
  <c r="AE35" i="3"/>
  <c r="AI35" i="3" s="1"/>
  <c r="AC35" i="3"/>
  <c r="AB35" i="3"/>
  <c r="AD35" i="3" s="1"/>
  <c r="Z35" i="3"/>
  <c r="Y35" i="3"/>
  <c r="X35" i="3"/>
  <c r="V35" i="3"/>
  <c r="U35" i="3"/>
  <c r="AG35" i="3" s="1"/>
  <c r="AK35" i="3" s="1"/>
  <c r="T35" i="3"/>
  <c r="O35" i="3"/>
  <c r="CN35" i="3" s="1"/>
  <c r="M35" i="3"/>
  <c r="Q35" i="3" s="1"/>
  <c r="L35" i="3"/>
  <c r="N35" i="3" s="1"/>
  <c r="I35" i="3"/>
  <c r="H35" i="3"/>
  <c r="J35" i="3" s="1"/>
  <c r="F35" i="3"/>
  <c r="E35" i="3"/>
  <c r="D35" i="3"/>
  <c r="CJ34" i="3"/>
  <c r="BS34" i="3"/>
  <c r="BW34" i="3" s="1"/>
  <c r="BR34" i="3"/>
  <c r="BQ34" i="3"/>
  <c r="BQ33" i="3" s="1"/>
  <c r="BP34" i="3"/>
  <c r="BM34" i="3"/>
  <c r="BM33" i="3" s="1"/>
  <c r="BL34" i="3"/>
  <c r="BN34" i="3" s="1"/>
  <c r="BH34" i="3"/>
  <c r="CK34" i="3" s="1"/>
  <c r="AY34" i="3"/>
  <c r="AX34" i="3"/>
  <c r="AW34" i="3"/>
  <c r="AW33" i="3" s="1"/>
  <c r="AV34" i="3"/>
  <c r="AS34" i="3"/>
  <c r="AS33" i="3" s="1"/>
  <c r="AR34" i="3"/>
  <c r="AO34" i="3"/>
  <c r="AN34" i="3"/>
  <c r="AZ34" i="3" s="1"/>
  <c r="BB34" i="3" s="1"/>
  <c r="AI34" i="3"/>
  <c r="BC34" i="3" s="1"/>
  <c r="AG34" i="3"/>
  <c r="AE34" i="3"/>
  <c r="AD34" i="3"/>
  <c r="AB34" i="3"/>
  <c r="X34" i="3"/>
  <c r="Z34" i="3" s="1"/>
  <c r="V34" i="3"/>
  <c r="T34" i="3"/>
  <c r="AF34" i="3" s="1"/>
  <c r="O34" i="3"/>
  <c r="CN34" i="3" s="1"/>
  <c r="M34" i="3"/>
  <c r="Q34" i="3" s="1"/>
  <c r="L34" i="3"/>
  <c r="J34" i="3"/>
  <c r="H34" i="3"/>
  <c r="D34" i="3"/>
  <c r="D33" i="3" s="1"/>
  <c r="BO33" i="3"/>
  <c r="BK33" i="3"/>
  <c r="BG33" i="3"/>
  <c r="BS33" i="3" s="1"/>
  <c r="AU33" i="3"/>
  <c r="AM33" i="3"/>
  <c r="AY33" i="3" s="1"/>
  <c r="AA33" i="3"/>
  <c r="W33" i="3"/>
  <c r="S33" i="3"/>
  <c r="AE33" i="3" s="1"/>
  <c r="K33" i="3"/>
  <c r="G33" i="3"/>
  <c r="C33" i="3"/>
  <c r="O33" i="3" s="1"/>
  <c r="BO32" i="3"/>
  <c r="BK32" i="3"/>
  <c r="AU32" i="3"/>
  <c r="AM32" i="3"/>
  <c r="AQ1" i="3" s="1"/>
  <c r="W32" i="3"/>
  <c r="S32" i="3"/>
  <c r="G32" i="3"/>
  <c r="C32" i="3"/>
  <c r="CL31" i="3"/>
  <c r="CK31" i="3"/>
  <c r="CJ31" i="3"/>
  <c r="BU31" i="3"/>
  <c r="BY31" i="3" s="1"/>
  <c r="BT31" i="3"/>
  <c r="BV31" i="3" s="1"/>
  <c r="BS31" i="3"/>
  <c r="BW31" i="3" s="1"/>
  <c r="CA31" i="3" s="1"/>
  <c r="BR31" i="3"/>
  <c r="BN31" i="3"/>
  <c r="BJ31" i="3"/>
  <c r="CM31" i="3" s="1"/>
  <c r="BB31" i="3"/>
  <c r="BA31" i="3"/>
  <c r="AZ31" i="3"/>
  <c r="AY31" i="3"/>
  <c r="AX31" i="3"/>
  <c r="AT31" i="3"/>
  <c r="AJ31" i="3"/>
  <c r="BD31" i="3" s="1"/>
  <c r="BF31" i="3" s="1"/>
  <c r="AG31" i="3"/>
  <c r="AK31" i="3" s="1"/>
  <c r="BE31" i="3" s="1"/>
  <c r="AF31" i="3"/>
  <c r="AH31" i="3" s="1"/>
  <c r="AE31" i="3"/>
  <c r="AI31" i="3" s="1"/>
  <c r="BC31" i="3" s="1"/>
  <c r="AD31" i="3"/>
  <c r="Z31" i="3"/>
  <c r="V31" i="3"/>
  <c r="Q31" i="3"/>
  <c r="CP31" i="3" s="1"/>
  <c r="P31" i="3"/>
  <c r="R31" i="3" s="1"/>
  <c r="CQ31" i="3" s="1"/>
  <c r="O31" i="3"/>
  <c r="CN31" i="3" s="1"/>
  <c r="J31" i="3"/>
  <c r="F31" i="3"/>
  <c r="CL30" i="3"/>
  <c r="CK30" i="3"/>
  <c r="CJ30" i="3"/>
  <c r="BV30" i="3"/>
  <c r="BU30" i="3"/>
  <c r="BY30" i="3" s="1"/>
  <c r="BT30" i="3"/>
  <c r="BX30" i="3" s="1"/>
  <c r="BS30" i="3"/>
  <c r="BW30" i="3" s="1"/>
  <c r="CA30" i="3" s="1"/>
  <c r="BR30" i="3"/>
  <c r="BN30" i="3"/>
  <c r="CM30" i="3" s="1"/>
  <c r="BJ30" i="3"/>
  <c r="BA30" i="3"/>
  <c r="AZ30" i="3"/>
  <c r="BB30" i="3" s="1"/>
  <c r="AY30" i="3"/>
  <c r="AT30" i="3"/>
  <c r="AH30" i="3"/>
  <c r="AG30" i="3"/>
  <c r="AF30" i="3"/>
  <c r="AE30" i="3"/>
  <c r="AI30" i="3" s="1"/>
  <c r="BC30" i="3" s="1"/>
  <c r="AD30" i="3"/>
  <c r="Z30" i="3"/>
  <c r="V30" i="3"/>
  <c r="O30" i="3"/>
  <c r="CN30" i="3" s="1"/>
  <c r="I30" i="3"/>
  <c r="H30" i="3"/>
  <c r="J30" i="3" s="1"/>
  <c r="F30" i="3"/>
  <c r="CO29" i="3"/>
  <c r="CL29" i="3"/>
  <c r="CL27" i="3" s="1"/>
  <c r="CK29" i="3"/>
  <c r="CJ29" i="3"/>
  <c r="BX29" i="3"/>
  <c r="BU29" i="3"/>
  <c r="BY29" i="3" s="1"/>
  <c r="CC29" i="3" s="1"/>
  <c r="BT29" i="3"/>
  <c r="BV29" i="3" s="1"/>
  <c r="BS29" i="3"/>
  <c r="BW29" i="3" s="1"/>
  <c r="CA29" i="3" s="1"/>
  <c r="BR29" i="3"/>
  <c r="BN29" i="3"/>
  <c r="BJ29" i="3"/>
  <c r="CM29" i="3" s="1"/>
  <c r="BA29" i="3"/>
  <c r="AZ29" i="3"/>
  <c r="BB29" i="3" s="1"/>
  <c r="AY29" i="3"/>
  <c r="AX29" i="3"/>
  <c r="AT29" i="3"/>
  <c r="AP29" i="3"/>
  <c r="AH29" i="3"/>
  <c r="AG29" i="3"/>
  <c r="AK29" i="3" s="1"/>
  <c r="BE29" i="3" s="1"/>
  <c r="AF29" i="3"/>
  <c r="AJ29" i="3" s="1"/>
  <c r="AE29" i="3"/>
  <c r="AI29" i="3" s="1"/>
  <c r="BC29" i="3" s="1"/>
  <c r="AD29" i="3"/>
  <c r="Z29" i="3"/>
  <c r="V29" i="3"/>
  <c r="R29" i="3"/>
  <c r="CQ29" i="3" s="1"/>
  <c r="Q29" i="3"/>
  <c r="CP29" i="3" s="1"/>
  <c r="P29" i="3"/>
  <c r="O29" i="3"/>
  <c r="CN29" i="3" s="1"/>
  <c r="J29" i="3"/>
  <c r="F29" i="3"/>
  <c r="CL28" i="3"/>
  <c r="CK28" i="3"/>
  <c r="CK27" i="3" s="1"/>
  <c r="CJ28" i="3"/>
  <c r="CN28" i="3" s="1"/>
  <c r="BU28" i="3"/>
  <c r="BY28" i="3" s="1"/>
  <c r="BT28" i="3"/>
  <c r="BV28" i="3" s="1"/>
  <c r="BS28" i="3"/>
  <c r="BW28" i="3" s="1"/>
  <c r="BR28" i="3"/>
  <c r="BN28" i="3"/>
  <c r="BJ28" i="3"/>
  <c r="CM28" i="3" s="1"/>
  <c r="BB28" i="3"/>
  <c r="BA28" i="3"/>
  <c r="AZ28" i="3"/>
  <c r="AY28" i="3"/>
  <c r="AX28" i="3"/>
  <c r="AT28" i="3"/>
  <c r="AP28" i="3"/>
  <c r="AH28" i="3"/>
  <c r="AG28" i="3"/>
  <c r="AK28" i="3" s="1"/>
  <c r="BE28" i="3" s="1"/>
  <c r="AF28" i="3"/>
  <c r="AJ28" i="3" s="1"/>
  <c r="AE28" i="3"/>
  <c r="AI28" i="3" s="1"/>
  <c r="BC28" i="3" s="1"/>
  <c r="AD28" i="3"/>
  <c r="Z28" i="3"/>
  <c r="V28" i="3"/>
  <c r="Q28" i="3"/>
  <c r="CP28" i="3" s="1"/>
  <c r="P28" i="3"/>
  <c r="CO28" i="3" s="1"/>
  <c r="O28" i="3"/>
  <c r="J28" i="3"/>
  <c r="F28" i="3"/>
  <c r="BR27" i="3"/>
  <c r="BP27" i="3"/>
  <c r="BO27" i="3"/>
  <c r="BN27" i="3"/>
  <c r="BL27" i="3"/>
  <c r="BK27" i="3"/>
  <c r="BJ27" i="3"/>
  <c r="BH27" i="3"/>
  <c r="BT27" i="3" s="1"/>
  <c r="BG27" i="3"/>
  <c r="BS27" i="3" s="1"/>
  <c r="AX27" i="3"/>
  <c r="AV27" i="3"/>
  <c r="AU27" i="3"/>
  <c r="AT27" i="3"/>
  <c r="AR27" i="3"/>
  <c r="AQ27" i="3"/>
  <c r="AP27" i="3"/>
  <c r="AN27" i="3"/>
  <c r="AZ27" i="3" s="1"/>
  <c r="AM27" i="3"/>
  <c r="AY27" i="3" s="1"/>
  <c r="AD27" i="3"/>
  <c r="AB27" i="3"/>
  <c r="AA27" i="3"/>
  <c r="Z27" i="3"/>
  <c r="X27" i="3"/>
  <c r="W27" i="3"/>
  <c r="V27" i="3"/>
  <c r="T27" i="3"/>
  <c r="AF27" i="3" s="1"/>
  <c r="S27" i="3"/>
  <c r="AE27" i="3" s="1"/>
  <c r="AI27" i="3" s="1"/>
  <c r="BC27" i="3" s="1"/>
  <c r="N27" i="3"/>
  <c r="CP27" i="3"/>
  <c r="L27" i="3"/>
  <c r="K27" i="3"/>
  <c r="G27" i="3"/>
  <c r="F27" i="3"/>
  <c r="C27" i="3"/>
  <c r="O27" i="3" s="1"/>
  <c r="CL26" i="3"/>
  <c r="CK26" i="3"/>
  <c r="CJ26" i="3"/>
  <c r="BV26" i="3"/>
  <c r="BU26" i="3"/>
  <c r="BY26" i="3" s="1"/>
  <c r="BT26" i="3"/>
  <c r="BX26" i="3" s="1"/>
  <c r="BS26" i="3"/>
  <c r="BW26" i="3" s="1"/>
  <c r="CA26" i="3" s="1"/>
  <c r="BR26" i="3"/>
  <c r="CM26" i="3" s="1"/>
  <c r="BN26" i="3"/>
  <c r="BJ26" i="3"/>
  <c r="BB26" i="3"/>
  <c r="BA26" i="3"/>
  <c r="AZ26" i="3"/>
  <c r="AY26" i="3"/>
  <c r="AX26" i="3"/>
  <c r="AT26" i="3"/>
  <c r="AP26" i="3"/>
  <c r="AG26" i="3"/>
  <c r="CP26" i="3" s="1"/>
  <c r="AF26" i="3"/>
  <c r="AH26" i="3" s="1"/>
  <c r="AE26" i="3"/>
  <c r="AI26" i="3" s="1"/>
  <c r="BC26" i="3" s="1"/>
  <c r="AD26" i="3"/>
  <c r="Z26" i="3"/>
  <c r="V26" i="3"/>
  <c r="Q26" i="3"/>
  <c r="P26" i="3"/>
  <c r="R26" i="3" s="1"/>
  <c r="CQ26" i="3" s="1"/>
  <c r="O26" i="3"/>
  <c r="CN26" i="3" s="1"/>
  <c r="N26" i="3"/>
  <c r="J26" i="3"/>
  <c r="F26" i="3"/>
  <c r="CL25" i="3"/>
  <c r="CK25" i="3"/>
  <c r="CJ25" i="3"/>
  <c r="BV25" i="3"/>
  <c r="BU25" i="3"/>
  <c r="BY25" i="3" s="1"/>
  <c r="BT25" i="3"/>
  <c r="BX25" i="3" s="1"/>
  <c r="BS25" i="3"/>
  <c r="BW25" i="3" s="1"/>
  <c r="BR25" i="3"/>
  <c r="CM25" i="3" s="1"/>
  <c r="BN25" i="3"/>
  <c r="BJ25" i="3"/>
  <c r="BB25" i="3"/>
  <c r="BA25" i="3"/>
  <c r="AZ25" i="3"/>
  <c r="AY25" i="3"/>
  <c r="AX25" i="3"/>
  <c r="AT25" i="3"/>
  <c r="AP25" i="3"/>
  <c r="AG25" i="3"/>
  <c r="CP25" i="3" s="1"/>
  <c r="AF25" i="3"/>
  <c r="AJ25" i="3" s="1"/>
  <c r="AE25" i="3"/>
  <c r="AI25" i="3" s="1"/>
  <c r="BC25" i="3" s="1"/>
  <c r="AD25" i="3"/>
  <c r="Z25" i="3"/>
  <c r="V25" i="3"/>
  <c r="Q25" i="3"/>
  <c r="P25" i="3"/>
  <c r="R25" i="3" s="1"/>
  <c r="O25" i="3"/>
  <c r="CN25" i="3" s="1"/>
  <c r="N25" i="3"/>
  <c r="J25" i="3"/>
  <c r="F25" i="3"/>
  <c r="CJ24" i="3"/>
  <c r="CJ23" i="3" s="1"/>
  <c r="BS24" i="3"/>
  <c r="BW24" i="3" s="1"/>
  <c r="BR24" i="3"/>
  <c r="BQ24" i="3"/>
  <c r="BP24" i="3"/>
  <c r="BN24" i="3"/>
  <c r="BM24" i="3"/>
  <c r="BM23" i="3" s="1"/>
  <c r="BL24" i="3"/>
  <c r="BI24" i="3"/>
  <c r="CL24" i="3" s="1"/>
  <c r="CL23" i="3" s="1"/>
  <c r="BH24" i="3"/>
  <c r="CK24" i="3" s="1"/>
  <c r="CK23" i="3" s="1"/>
  <c r="AY24" i="3"/>
  <c r="AY23" i="3" s="1"/>
  <c r="AX24" i="3"/>
  <c r="AW24" i="3"/>
  <c r="AT24" i="3"/>
  <c r="AS24" i="3"/>
  <c r="AS23" i="3" s="1"/>
  <c r="AR24" i="3"/>
  <c r="AO24" i="3"/>
  <c r="BA24" i="3" s="1"/>
  <c r="BA23" i="3" s="1"/>
  <c r="AN24" i="3"/>
  <c r="AP24" i="3" s="1"/>
  <c r="AF24" i="3"/>
  <c r="AH24" i="3" s="1"/>
  <c r="AE24" i="3"/>
  <c r="CN24" i="3" s="1"/>
  <c r="AD24" i="3"/>
  <c r="AC24" i="3"/>
  <c r="Z24" i="3"/>
  <c r="Y24" i="3"/>
  <c r="Y23" i="3" s="1"/>
  <c r="V24" i="3"/>
  <c r="P24" i="3"/>
  <c r="O24" i="3"/>
  <c r="N24" i="3"/>
  <c r="J24" i="3"/>
  <c r="I24" i="3"/>
  <c r="I23" i="3" s="1"/>
  <c r="F24" i="3"/>
  <c r="BQ23" i="3"/>
  <c r="BP23" i="3"/>
  <c r="BR23" i="3" s="1"/>
  <c r="BO23" i="3"/>
  <c r="BL23" i="3"/>
  <c r="BN23" i="3" s="1"/>
  <c r="BK23" i="3"/>
  <c r="BI23" i="3"/>
  <c r="BU23" i="3" s="1"/>
  <c r="BY23" i="3" s="1"/>
  <c r="BH23" i="3"/>
  <c r="BJ23" i="3" s="1"/>
  <c r="BG23" i="3"/>
  <c r="BS23" i="3" s="1"/>
  <c r="BW23" i="3" s="1"/>
  <c r="AW23" i="3"/>
  <c r="AV23" i="3"/>
  <c r="AX23" i="3" s="1"/>
  <c r="AU23" i="3"/>
  <c r="AR23" i="3"/>
  <c r="AT23" i="3" s="1"/>
  <c r="AQ23" i="3"/>
  <c r="AO23" i="3"/>
  <c r="AO9" i="3" s="1"/>
  <c r="AN23" i="3"/>
  <c r="AP23" i="3" s="1"/>
  <c r="AM23" i="3"/>
  <c r="AF23" i="3"/>
  <c r="AC23" i="3"/>
  <c r="AB23" i="3"/>
  <c r="AD23" i="3" s="1"/>
  <c r="AA23" i="3"/>
  <c r="X23" i="3"/>
  <c r="Z23" i="3" s="1"/>
  <c r="W23" i="3"/>
  <c r="U23" i="3"/>
  <c r="T23" i="3"/>
  <c r="V23" i="3" s="1"/>
  <c r="S23" i="3"/>
  <c r="AE23" i="3" s="1"/>
  <c r="M23" i="3"/>
  <c r="Q23" i="3" s="1"/>
  <c r="L23" i="3"/>
  <c r="N23" i="3" s="1"/>
  <c r="K23" i="3"/>
  <c r="H23" i="3"/>
  <c r="J23" i="3" s="1"/>
  <c r="G23" i="3"/>
  <c r="E23" i="3"/>
  <c r="D23" i="3"/>
  <c r="F23" i="3" s="1"/>
  <c r="C23" i="3"/>
  <c r="O23" i="3" s="1"/>
  <c r="CJ22" i="3"/>
  <c r="BS22" i="3"/>
  <c r="BW22" i="3" s="1"/>
  <c r="BU22" i="3"/>
  <c r="BR22" i="3"/>
  <c r="BN22" i="3"/>
  <c r="BJ22" i="3"/>
  <c r="AY22" i="3"/>
  <c r="AX22" i="3"/>
  <c r="BA22" i="3"/>
  <c r="AR22" i="3"/>
  <c r="AZ22" i="3" s="1"/>
  <c r="BB22" i="3" s="1"/>
  <c r="AP22" i="3"/>
  <c r="AE22" i="3"/>
  <c r="AI22" i="3" s="1"/>
  <c r="BC22" i="3" s="1"/>
  <c r="AD22" i="3"/>
  <c r="Y22" i="3"/>
  <c r="AG22" i="3" s="1"/>
  <c r="AK22" i="3" s="1"/>
  <c r="X22" i="3"/>
  <c r="Z22" i="3" s="1"/>
  <c r="V22" i="3"/>
  <c r="P22" i="3"/>
  <c r="R22" i="3" s="1"/>
  <c r="O22" i="3"/>
  <c r="CN22" i="3" s="1"/>
  <c r="M22" i="3"/>
  <c r="Q22" i="3" s="1"/>
  <c r="L22" i="3"/>
  <c r="N22" i="3" s="1"/>
  <c r="J22" i="3"/>
  <c r="F22" i="3"/>
  <c r="E22" i="3"/>
  <c r="CL21" i="3"/>
  <c r="CK21" i="3"/>
  <c r="CJ21" i="3"/>
  <c r="BT21" i="3"/>
  <c r="BV21" i="3" s="1"/>
  <c r="BS21" i="3"/>
  <c r="BW21" i="3" s="1"/>
  <c r="CA21" i="3" s="1"/>
  <c r="BR21" i="3"/>
  <c r="BN21" i="3"/>
  <c r="BJ21" i="3"/>
  <c r="CM21" i="3" s="1"/>
  <c r="AZ21" i="3"/>
  <c r="BB21" i="3" s="1"/>
  <c r="AY21" i="3"/>
  <c r="AX21" i="3"/>
  <c r="AW21" i="3"/>
  <c r="AT21" i="3"/>
  <c r="AS21" i="3"/>
  <c r="AP21" i="3"/>
  <c r="AF21" i="3"/>
  <c r="AH21" i="3" s="1"/>
  <c r="AE21" i="3"/>
  <c r="AI21" i="3" s="1"/>
  <c r="BC21" i="3" s="1"/>
  <c r="AD21" i="3"/>
  <c r="Z21" i="3"/>
  <c r="V21" i="3"/>
  <c r="P21" i="3"/>
  <c r="R21" i="3" s="1"/>
  <c r="O21" i="3"/>
  <c r="CN21" i="3" s="1"/>
  <c r="N21" i="3"/>
  <c r="M21" i="3"/>
  <c r="J21" i="3"/>
  <c r="F21" i="3"/>
  <c r="BU20" i="3"/>
  <c r="BA20" i="3"/>
  <c r="AG20" i="3"/>
  <c r="AK20" i="3" s="1"/>
  <c r="AE20" i="3"/>
  <c r="Q20" i="3"/>
  <c r="O20" i="3"/>
  <c r="CJ19" i="3"/>
  <c r="BS19" i="3"/>
  <c r="BW19" i="3" s="1"/>
  <c r="CA19" i="3" s="1"/>
  <c r="BR19" i="3"/>
  <c r="BQ19" i="3"/>
  <c r="BP19" i="3"/>
  <c r="BN19" i="3"/>
  <c r="BM19" i="3"/>
  <c r="BM10" i="3" s="1"/>
  <c r="BL19" i="3"/>
  <c r="BI19" i="3"/>
  <c r="CL19" i="3" s="1"/>
  <c r="BH19" i="3"/>
  <c r="CK19" i="3" s="1"/>
  <c r="AY19" i="3"/>
  <c r="BC19" i="3" s="1"/>
  <c r="AW19" i="3"/>
  <c r="AV19" i="3"/>
  <c r="AX19" i="3" s="1"/>
  <c r="AX10" i="3" s="1"/>
  <c r="AT19" i="3"/>
  <c r="AO19" i="3"/>
  <c r="BA19" i="3" s="1"/>
  <c r="AN19" i="3"/>
  <c r="AP19" i="3" s="1"/>
  <c r="AI19" i="3"/>
  <c r="AE19" i="3"/>
  <c r="CN19" i="3" s="1"/>
  <c r="AD19" i="3"/>
  <c r="AC19" i="3"/>
  <c r="Z19" i="3"/>
  <c r="V19" i="3"/>
  <c r="U19" i="3"/>
  <c r="AG19" i="3" s="1"/>
  <c r="T19" i="3"/>
  <c r="AF19" i="3" s="1"/>
  <c r="AH19" i="3" s="1"/>
  <c r="P19" i="3"/>
  <c r="O19" i="3"/>
  <c r="N19" i="3"/>
  <c r="M19" i="3"/>
  <c r="M10" i="3" s="1"/>
  <c r="M9" i="3" s="1"/>
  <c r="J19" i="3"/>
  <c r="I19" i="3"/>
  <c r="H19" i="3"/>
  <c r="F19" i="3"/>
  <c r="E19" i="3"/>
  <c r="D19" i="3"/>
  <c r="CJ18" i="3"/>
  <c r="BS18" i="3"/>
  <c r="BW18" i="3" s="1"/>
  <c r="BQ18" i="3"/>
  <c r="CL18" i="3" s="1"/>
  <c r="BM18" i="3"/>
  <c r="BL18" i="3"/>
  <c r="BN18" i="3" s="1"/>
  <c r="BN10" i="3" s="1"/>
  <c r="BJ18" i="3"/>
  <c r="BI18" i="3"/>
  <c r="BH18" i="3"/>
  <c r="AY18" i="3"/>
  <c r="AX18" i="3"/>
  <c r="AW18" i="3"/>
  <c r="AW10" i="3" s="1"/>
  <c r="AW9" i="3" s="1"/>
  <c r="AV18" i="3"/>
  <c r="AS18" i="3"/>
  <c r="AS10" i="3" s="1"/>
  <c r="AR18" i="3"/>
  <c r="AT18" i="3" s="1"/>
  <c r="AT10" i="3" s="1"/>
  <c r="AO18" i="3"/>
  <c r="AN18" i="3"/>
  <c r="AZ18" i="3" s="1"/>
  <c r="BB18" i="3" s="1"/>
  <c r="AE18" i="3"/>
  <c r="AD18" i="3"/>
  <c r="AC18" i="3"/>
  <c r="AB18" i="3"/>
  <c r="Z18" i="3"/>
  <c r="Y18" i="3"/>
  <c r="Y10" i="3" s="1"/>
  <c r="Y9" i="3" s="1"/>
  <c r="X18" i="3"/>
  <c r="U18" i="3"/>
  <c r="AG18" i="3" s="1"/>
  <c r="T18" i="3"/>
  <c r="AF18" i="3" s="1"/>
  <c r="AH18" i="3" s="1"/>
  <c r="O18" i="3"/>
  <c r="CN18" i="3" s="1"/>
  <c r="M18" i="3"/>
  <c r="Q18" i="3" s="1"/>
  <c r="L18" i="3"/>
  <c r="N18" i="3" s="1"/>
  <c r="N10" i="3" s="1"/>
  <c r="J18" i="3"/>
  <c r="I18" i="3"/>
  <c r="H18" i="3"/>
  <c r="F18" i="3"/>
  <c r="E18" i="3"/>
  <c r="E10" i="3" s="1"/>
  <c r="E9" i="3" s="1"/>
  <c r="D18" i="3"/>
  <c r="CK17" i="3"/>
  <c r="CJ17" i="3"/>
  <c r="BT17" i="3"/>
  <c r="BV17" i="3" s="1"/>
  <c r="BS17" i="3"/>
  <c r="BW17" i="3" s="1"/>
  <c r="BR17" i="3"/>
  <c r="BQ17" i="3"/>
  <c r="BQ10" i="3" s="1"/>
  <c r="BQ9" i="3" s="1"/>
  <c r="BN17" i="3"/>
  <c r="BM17" i="3"/>
  <c r="BL17" i="3"/>
  <c r="BJ17" i="3"/>
  <c r="CM17" i="3" s="1"/>
  <c r="BI17" i="3"/>
  <c r="BI10" i="3" s="1"/>
  <c r="BI9" i="3" s="1"/>
  <c r="AZ17" i="3"/>
  <c r="BB17" i="3" s="1"/>
  <c r="AY17" i="3"/>
  <c r="AY10" i="3" s="1"/>
  <c r="AX17" i="3"/>
  <c r="AW17" i="3"/>
  <c r="AT17" i="3"/>
  <c r="AP17" i="3"/>
  <c r="AO17" i="3"/>
  <c r="BA17" i="3" s="1"/>
  <c r="AF17" i="3"/>
  <c r="AH17" i="3" s="1"/>
  <c r="AE17" i="3"/>
  <c r="AD17" i="3"/>
  <c r="AC17" i="3"/>
  <c r="AC10" i="3" s="1"/>
  <c r="AC9" i="3" s="1"/>
  <c r="Z17" i="3"/>
  <c r="Y17" i="3"/>
  <c r="V17" i="3"/>
  <c r="U17" i="3"/>
  <c r="U10" i="3" s="1"/>
  <c r="U9" i="3" s="1"/>
  <c r="O17" i="3"/>
  <c r="CN17" i="3" s="1"/>
  <c r="N17" i="3"/>
  <c r="M17" i="3"/>
  <c r="Q17" i="3" s="1"/>
  <c r="I17" i="3"/>
  <c r="I10" i="3" s="1"/>
  <c r="I9" i="3" s="1"/>
  <c r="H17" i="3"/>
  <c r="P17" i="3" s="1"/>
  <c r="F17" i="3"/>
  <c r="E17" i="3"/>
  <c r="CL16" i="3"/>
  <c r="CJ16" i="3"/>
  <c r="BU16" i="3"/>
  <c r="BS16" i="3"/>
  <c r="BW16" i="3" s="1"/>
  <c r="BP16" i="3"/>
  <c r="CK16" i="3" s="1"/>
  <c r="BN16" i="3"/>
  <c r="BJ16" i="3"/>
  <c r="BB16" i="3"/>
  <c r="BA16" i="3"/>
  <c r="CP16" i="3" s="1"/>
  <c r="AZ16" i="3"/>
  <c r="AY16" i="3"/>
  <c r="AX16" i="3"/>
  <c r="AT16" i="3"/>
  <c r="AP16" i="3"/>
  <c r="AG16" i="3"/>
  <c r="AK16" i="3" s="1"/>
  <c r="BE16" i="3" s="1"/>
  <c r="AF16" i="3"/>
  <c r="AJ16" i="3" s="1"/>
  <c r="AE16" i="3"/>
  <c r="AD16" i="3"/>
  <c r="Z16" i="3"/>
  <c r="V16" i="3"/>
  <c r="Q16" i="3"/>
  <c r="P16" i="3"/>
  <c r="O16" i="3"/>
  <c r="AI16" i="3" s="1"/>
  <c r="BC16" i="3" s="1"/>
  <c r="N16" i="3"/>
  <c r="J16" i="3"/>
  <c r="F16" i="3"/>
  <c r="CL15" i="3"/>
  <c r="CJ15" i="3"/>
  <c r="BU15" i="3"/>
  <c r="BY15" i="3" s="1"/>
  <c r="CC15" i="3" s="1"/>
  <c r="BS15" i="3"/>
  <c r="BW15" i="3" s="1"/>
  <c r="BR15" i="3"/>
  <c r="CM15" i="3" s="1"/>
  <c r="BN15" i="3"/>
  <c r="BL15" i="3"/>
  <c r="CK15" i="3" s="1"/>
  <c r="BJ15" i="3"/>
  <c r="BB15" i="3"/>
  <c r="BA15" i="3"/>
  <c r="AZ15" i="3"/>
  <c r="AY15" i="3"/>
  <c r="CN15" i="3" s="1"/>
  <c r="AX15" i="3"/>
  <c r="AT15" i="3"/>
  <c r="AP15" i="3"/>
  <c r="AH15" i="3"/>
  <c r="AG15" i="3"/>
  <c r="AK15" i="3" s="1"/>
  <c r="BE15" i="3" s="1"/>
  <c r="AF15" i="3"/>
  <c r="AE15" i="3"/>
  <c r="AD15" i="3"/>
  <c r="Z15" i="3"/>
  <c r="V15" i="3"/>
  <c r="Q15" i="3"/>
  <c r="CP15" i="3" s="1"/>
  <c r="P15" i="3"/>
  <c r="AJ15" i="3" s="1"/>
  <c r="O15" i="3"/>
  <c r="AI15" i="3" s="1"/>
  <c r="BC15" i="3" s="1"/>
  <c r="N15" i="3"/>
  <c r="J15" i="3"/>
  <c r="F15" i="3"/>
  <c r="CJ14" i="3"/>
  <c r="CJ10" i="3" s="1"/>
  <c r="BS14" i="3"/>
  <c r="BR14" i="3"/>
  <c r="BM14" i="3"/>
  <c r="BL14" i="3"/>
  <c r="BN14" i="3" s="1"/>
  <c r="BJ14" i="3"/>
  <c r="BI14" i="3"/>
  <c r="CL14" i="3" s="1"/>
  <c r="BB14" i="3"/>
  <c r="AZ14" i="3"/>
  <c r="AY14" i="3"/>
  <c r="AX14" i="3"/>
  <c r="AW14" i="3"/>
  <c r="BA14" i="3" s="1"/>
  <c r="AT14" i="3"/>
  <c r="AS14" i="3"/>
  <c r="AP14" i="3"/>
  <c r="AH14" i="3"/>
  <c r="AG14" i="3"/>
  <c r="AF14" i="3"/>
  <c r="AE14" i="3"/>
  <c r="AI14" i="3" s="1"/>
  <c r="BC14" i="3" s="1"/>
  <c r="AD14" i="3"/>
  <c r="Z14" i="3"/>
  <c r="V14" i="3"/>
  <c r="R14" i="3"/>
  <c r="Q14" i="3"/>
  <c r="AK14" i="3" s="1"/>
  <c r="BE14" i="3" s="1"/>
  <c r="P14" i="3"/>
  <c r="AJ14" i="3" s="1"/>
  <c r="O14" i="3"/>
  <c r="N14" i="3"/>
  <c r="J14" i="3"/>
  <c r="F14" i="3"/>
  <c r="CK13" i="3"/>
  <c r="CO13" i="3" s="1"/>
  <c r="CJ13" i="3"/>
  <c r="BT13" i="3"/>
  <c r="BV13" i="3" s="1"/>
  <c r="BS13" i="3"/>
  <c r="BW13" i="3" s="1"/>
  <c r="CA13" i="3" s="1"/>
  <c r="BR13" i="3"/>
  <c r="BN13" i="3"/>
  <c r="BM13" i="3"/>
  <c r="BL13" i="3"/>
  <c r="BJ13" i="3"/>
  <c r="CM13" i="3" s="1"/>
  <c r="BI13" i="3"/>
  <c r="BU13" i="3" s="1"/>
  <c r="BY13" i="3" s="1"/>
  <c r="CC13" i="3" s="1"/>
  <c r="BB13" i="3"/>
  <c r="AZ13" i="3"/>
  <c r="AY13" i="3"/>
  <c r="AX13" i="3"/>
  <c r="AW13" i="3"/>
  <c r="AT13" i="3"/>
  <c r="AS13" i="3"/>
  <c r="BA13" i="3" s="1"/>
  <c r="AP13" i="3"/>
  <c r="AG13" i="3"/>
  <c r="AF13" i="3"/>
  <c r="AH13" i="3" s="1"/>
  <c r="AE13" i="3"/>
  <c r="AI13" i="3" s="1"/>
  <c r="BC13" i="3" s="1"/>
  <c r="AD13" i="3"/>
  <c r="Z13" i="3"/>
  <c r="V13" i="3"/>
  <c r="R13" i="3"/>
  <c r="Q13" i="3"/>
  <c r="AK13" i="3" s="1"/>
  <c r="BE13" i="3" s="1"/>
  <c r="P13" i="3"/>
  <c r="O13" i="3"/>
  <c r="CN13" i="3" s="1"/>
  <c r="N13" i="3"/>
  <c r="J13" i="3"/>
  <c r="F13" i="3"/>
  <c r="CL12" i="3"/>
  <c r="CP12" i="3" s="1"/>
  <c r="CK12" i="3"/>
  <c r="CJ12" i="3"/>
  <c r="BY12" i="3"/>
  <c r="BV12" i="3"/>
  <c r="BU12" i="3"/>
  <c r="BT12" i="3"/>
  <c r="BX12" i="3" s="1"/>
  <c r="BS12" i="3"/>
  <c r="BW12" i="3" s="1"/>
  <c r="BR12" i="3"/>
  <c r="BN12" i="3"/>
  <c r="CM12" i="3" s="1"/>
  <c r="BJ12" i="3"/>
  <c r="BA12" i="3"/>
  <c r="AZ12" i="3"/>
  <c r="BB12" i="3" s="1"/>
  <c r="AY12" i="3"/>
  <c r="AX12" i="3"/>
  <c r="AT12" i="3"/>
  <c r="AP12" i="3"/>
  <c r="AG12" i="3"/>
  <c r="AF12" i="3"/>
  <c r="CO12" i="3" s="1"/>
  <c r="AE12" i="3"/>
  <c r="AI12" i="3" s="1"/>
  <c r="BC12" i="3" s="1"/>
  <c r="AD12" i="3"/>
  <c r="Z12" i="3"/>
  <c r="V12" i="3"/>
  <c r="R12" i="3"/>
  <c r="Q12" i="3"/>
  <c r="AK12" i="3" s="1"/>
  <c r="BE12" i="3" s="1"/>
  <c r="P12" i="3"/>
  <c r="O12" i="3"/>
  <c r="CN12" i="3" s="1"/>
  <c r="N12" i="3"/>
  <c r="J12" i="3"/>
  <c r="F12" i="3"/>
  <c r="CK11" i="3"/>
  <c r="CJ11" i="3"/>
  <c r="BV11" i="3"/>
  <c r="BT11" i="3"/>
  <c r="BX11" i="3" s="1"/>
  <c r="BS11" i="3"/>
  <c r="BW11" i="3" s="1"/>
  <c r="BR11" i="3"/>
  <c r="BN11" i="3"/>
  <c r="BM11" i="3"/>
  <c r="BL11" i="3"/>
  <c r="BJ11" i="3"/>
  <c r="CM11" i="3" s="1"/>
  <c r="BI11" i="3"/>
  <c r="CL11" i="3" s="1"/>
  <c r="AZ11" i="3"/>
  <c r="BB11" i="3" s="1"/>
  <c r="AY11" i="3"/>
  <c r="AY9" i="3" s="1"/>
  <c r="AX11" i="3"/>
  <c r="AT11" i="3"/>
  <c r="AS11" i="3"/>
  <c r="BA11" i="3" s="1"/>
  <c r="AP11" i="3"/>
  <c r="AG11" i="3"/>
  <c r="AF11" i="3"/>
  <c r="AH11" i="3" s="1"/>
  <c r="AE11" i="3"/>
  <c r="AD11" i="3"/>
  <c r="Z11" i="3"/>
  <c r="V11" i="3"/>
  <c r="Q11" i="3"/>
  <c r="AK11" i="3" s="1"/>
  <c r="BE11" i="3" s="1"/>
  <c r="O11" i="3"/>
  <c r="CN11" i="3" s="1"/>
  <c r="N11" i="3"/>
  <c r="J11" i="3"/>
  <c r="D11" i="3"/>
  <c r="P11" i="3" s="1"/>
  <c r="BS10" i="3"/>
  <c r="BO10" i="3"/>
  <c r="BK10" i="3"/>
  <c r="BG10" i="3"/>
  <c r="AU10" i="3"/>
  <c r="AQ10" i="3"/>
  <c r="AO10" i="3"/>
  <c r="AM10" i="3"/>
  <c r="AE10" i="3"/>
  <c r="AD10" i="3"/>
  <c r="AB10" i="3"/>
  <c r="AA10" i="3"/>
  <c r="Z10" i="3"/>
  <c r="X10" i="3"/>
  <c r="W10" i="3"/>
  <c r="S10" i="3"/>
  <c r="K10" i="3"/>
  <c r="G10" i="3"/>
  <c r="F10" i="3"/>
  <c r="D10" i="3"/>
  <c r="C10" i="3"/>
  <c r="O10" i="3" s="1"/>
  <c r="BO9" i="3"/>
  <c r="BK9" i="3"/>
  <c r="BG9" i="3"/>
  <c r="AU9" i="3"/>
  <c r="AQ9" i="3"/>
  <c r="AM9" i="3"/>
  <c r="AA9" i="3"/>
  <c r="W9" i="3"/>
  <c r="S9" i="3"/>
  <c r="K9" i="3"/>
  <c r="G9" i="3"/>
  <c r="C9" i="3"/>
  <c r="BV8" i="3"/>
  <c r="BU8" i="3"/>
  <c r="BY8" i="3" s="1"/>
  <c r="CC8" i="3" s="1"/>
  <c r="BT8" i="3"/>
  <c r="BX8" i="3" s="1"/>
  <c r="BS8" i="3"/>
  <c r="BW8" i="3" s="1"/>
  <c r="CA8" i="3" s="1"/>
  <c r="BR8" i="3"/>
  <c r="BN8" i="3"/>
  <c r="BJ8" i="3"/>
  <c r="BB8" i="3"/>
  <c r="BA8" i="3"/>
  <c r="AZ8" i="3"/>
  <c r="AY8" i="3"/>
  <c r="AX8" i="3"/>
  <c r="AT8" i="3"/>
  <c r="AP8" i="3"/>
  <c r="AG8" i="3"/>
  <c r="AK8" i="3" s="1"/>
  <c r="BE8" i="3" s="1"/>
  <c r="AF8" i="3"/>
  <c r="AH8" i="3" s="1"/>
  <c r="AE8" i="3"/>
  <c r="AI8" i="3" s="1"/>
  <c r="BC8" i="3" s="1"/>
  <c r="AD8" i="3"/>
  <c r="Z8" i="3"/>
  <c r="V8" i="3"/>
  <c r="BU7" i="3"/>
  <c r="BY7" i="3" s="1"/>
  <c r="BT7" i="3"/>
  <c r="BV7" i="3" s="1"/>
  <c r="BS7" i="3"/>
  <c r="BW7" i="3" s="1"/>
  <c r="BR7" i="3"/>
  <c r="BN7" i="3"/>
  <c r="BJ7" i="3"/>
  <c r="BA7" i="3"/>
  <c r="AZ7" i="3"/>
  <c r="BB7" i="3" s="1"/>
  <c r="AY7" i="3"/>
  <c r="AX7" i="3"/>
  <c r="AT7" i="3"/>
  <c r="AP7" i="3"/>
  <c r="AH7" i="3"/>
  <c r="AG7" i="3"/>
  <c r="AK7" i="3" s="1"/>
  <c r="BE7" i="3" s="1"/>
  <c r="AF7" i="3"/>
  <c r="AJ7" i="3" s="1"/>
  <c r="AE7" i="3"/>
  <c r="AI7" i="3" s="1"/>
  <c r="BC7" i="3" s="1"/>
  <c r="AD7" i="3"/>
  <c r="Z7" i="3"/>
  <c r="V7" i="3"/>
  <c r="R7" i="3"/>
  <c r="AS6" i="3"/>
  <c r="AO6" i="3"/>
  <c r="BY6" i="3" s="1"/>
  <c r="AK6" i="3"/>
  <c r="AC6" i="3"/>
  <c r="Y6" i="3"/>
  <c r="U6" i="3"/>
  <c r="M6" i="3"/>
  <c r="I6" i="3"/>
  <c r="E6" i="3"/>
  <c r="BI2" i="3"/>
  <c r="T1" i="3"/>
  <c r="C1" i="3"/>
  <c r="CD29" i="4" l="1"/>
  <c r="CD80" i="4"/>
  <c r="CC123" i="4"/>
  <c r="CA121" i="4"/>
  <c r="CO118" i="4"/>
  <c r="AL111" i="4"/>
  <c r="AL126" i="4"/>
  <c r="AL112" i="4"/>
  <c r="AL109" i="4"/>
  <c r="BC114" i="4"/>
  <c r="CQ88" i="4"/>
  <c r="CA96" i="4"/>
  <c r="CL108" i="4"/>
  <c r="CN113" i="4"/>
  <c r="CB103" i="4"/>
  <c r="AL80" i="4"/>
  <c r="Q76" i="4"/>
  <c r="BZ77" i="4"/>
  <c r="CO85" i="4"/>
  <c r="N40" i="4"/>
  <c r="AV34" i="4"/>
  <c r="CQ43" i="4"/>
  <c r="AX49" i="4"/>
  <c r="CQ26" i="4"/>
  <c r="CC22" i="4"/>
  <c r="CB31" i="4"/>
  <c r="AH28" i="4"/>
  <c r="CM18" i="4"/>
  <c r="CB9" i="4"/>
  <c r="CD9" i="4" s="1"/>
  <c r="CC28" i="4"/>
  <c r="CC59" i="4"/>
  <c r="CM56" i="4"/>
  <c r="BJ108" i="4"/>
  <c r="AR95" i="4"/>
  <c r="AT95" i="4" s="1"/>
  <c r="CA125" i="4"/>
  <c r="AG95" i="4"/>
  <c r="CA80" i="4"/>
  <c r="AQ33" i="4"/>
  <c r="AQ132" i="4" s="1"/>
  <c r="CB67" i="4"/>
  <c r="CC111" i="4"/>
  <c r="CP120" i="4"/>
  <c r="BP100" i="4"/>
  <c r="CA91" i="4"/>
  <c r="CC27" i="4"/>
  <c r="AZ92" i="4"/>
  <c r="BB92" i="4" s="1"/>
  <c r="AT92" i="4"/>
  <c r="AR91" i="4"/>
  <c r="BA91" i="4"/>
  <c r="CP91" i="4" s="1"/>
  <c r="BA93" i="4"/>
  <c r="BU93" i="4"/>
  <c r="BY93" i="4" s="1"/>
  <c r="BH93" i="4"/>
  <c r="BH91" i="4"/>
  <c r="CL91" i="4"/>
  <c r="BU91" i="4"/>
  <c r="CC13" i="4"/>
  <c r="CB22" i="4"/>
  <c r="CD22" i="4" s="1"/>
  <c r="CD125" i="4"/>
  <c r="BZ128" i="4"/>
  <c r="CQ112" i="4"/>
  <c r="BZ110" i="4"/>
  <c r="CD105" i="4"/>
  <c r="CD98" i="4"/>
  <c r="AL74" i="4"/>
  <c r="R46" i="4"/>
  <c r="CQ46" i="4" s="1"/>
  <c r="BM34" i="4"/>
  <c r="BM33" i="4" s="1"/>
  <c r="BM132" i="4" s="1"/>
  <c r="CA78" i="4"/>
  <c r="AJ51" i="4"/>
  <c r="BO132" i="4"/>
  <c r="CL11" i="4"/>
  <c r="CQ45" i="4"/>
  <c r="CB26" i="4"/>
  <c r="CD26" i="4" s="1"/>
  <c r="BZ22" i="4"/>
  <c r="CA62" i="4"/>
  <c r="CA50" i="4"/>
  <c r="CP65" i="4"/>
  <c r="BW102" i="4"/>
  <c r="AL87" i="4"/>
  <c r="CA129" i="4"/>
  <c r="CD42" i="4"/>
  <c r="CD37" i="4"/>
  <c r="AZ93" i="4"/>
  <c r="BB93" i="4" s="1"/>
  <c r="AT93" i="4"/>
  <c r="BY12" i="4"/>
  <c r="CC12" i="4" s="1"/>
  <c r="CQ47" i="4"/>
  <c r="CB129" i="4"/>
  <c r="CD129" i="4" s="1"/>
  <c r="BE120" i="4"/>
  <c r="CQ129" i="4"/>
  <c r="CQ124" i="4"/>
  <c r="CK108" i="4"/>
  <c r="CQ116" i="4"/>
  <c r="CD110" i="4"/>
  <c r="AL121" i="4"/>
  <c r="CQ105" i="4"/>
  <c r="BD74" i="4"/>
  <c r="BF74" i="4" s="1"/>
  <c r="BF78" i="4"/>
  <c r="AK69" i="4"/>
  <c r="BE69" i="4" s="1"/>
  <c r="CN52" i="4"/>
  <c r="CO46" i="4"/>
  <c r="CA42" i="4"/>
  <c r="CA46" i="4"/>
  <c r="BY15" i="4"/>
  <c r="CC15" i="4" s="1"/>
  <c r="I34" i="4"/>
  <c r="I33" i="4" s="1"/>
  <c r="CP54" i="4"/>
  <c r="CO51" i="4"/>
  <c r="CA38" i="4"/>
  <c r="CC19" i="4"/>
  <c r="CC14" i="4"/>
  <c r="Y33" i="4"/>
  <c r="Y133" i="4" s="1"/>
  <c r="Y142" i="4" s="1"/>
  <c r="CB30" i="4"/>
  <c r="CD30" i="4" s="1"/>
  <c r="CA23" i="4"/>
  <c r="CA19" i="4"/>
  <c r="BE15" i="4"/>
  <c r="CD12" i="4"/>
  <c r="CQ27" i="4"/>
  <c r="BF8" i="4"/>
  <c r="CL75" i="4"/>
  <c r="AI28" i="4"/>
  <c r="BC28" i="4" s="1"/>
  <c r="CB72" i="4"/>
  <c r="CD72" i="4" s="1"/>
  <c r="CA66" i="4"/>
  <c r="AL68" i="4"/>
  <c r="AL67" i="4"/>
  <c r="CA118" i="4"/>
  <c r="CO101" i="4"/>
  <c r="CA94" i="4"/>
  <c r="BZ98" i="4"/>
  <c r="AL37" i="4"/>
  <c r="BD37" i="4"/>
  <c r="BF37" i="4" s="1"/>
  <c r="BU92" i="4"/>
  <c r="BY92" i="4" s="1"/>
  <c r="BH92" i="4"/>
  <c r="BZ12" i="4"/>
  <c r="CD127" i="4"/>
  <c r="BD92" i="4"/>
  <c r="BF92" i="4" s="1"/>
  <c r="CQ84" i="4"/>
  <c r="CM76" i="4"/>
  <c r="CK76" i="4"/>
  <c r="CA77" i="4"/>
  <c r="CC93" i="4"/>
  <c r="BE93" i="4"/>
  <c r="AL93" i="4"/>
  <c r="BD93" i="4"/>
  <c r="BF93" i="4" s="1"/>
  <c r="CQ78" i="4"/>
  <c r="BE94" i="4"/>
  <c r="CC94" i="4"/>
  <c r="AL94" i="4"/>
  <c r="CB94" i="4"/>
  <c r="CD94" i="4" s="1"/>
  <c r="BD94" i="4"/>
  <c r="BF94" i="4" s="1"/>
  <c r="CQ79" i="4"/>
  <c r="CC92" i="4"/>
  <c r="BE92" i="4"/>
  <c r="CD73" i="4"/>
  <c r="BZ67" i="4"/>
  <c r="CK64" i="4"/>
  <c r="CQ72" i="4"/>
  <c r="CD67" i="4"/>
  <c r="CC73" i="4"/>
  <c r="CC72" i="4"/>
  <c r="BF66" i="4"/>
  <c r="CA74" i="4"/>
  <c r="CD74" i="4" s="1"/>
  <c r="CD53" i="4"/>
  <c r="BV52" i="4"/>
  <c r="CM52" i="4"/>
  <c r="CO52" i="4"/>
  <c r="CA54" i="4"/>
  <c r="CA52" i="4" s="1"/>
  <c r="Z40" i="4"/>
  <c r="BY51" i="4"/>
  <c r="CC51" i="4" s="1"/>
  <c r="CQ31" i="4"/>
  <c r="CB126" i="4"/>
  <c r="CA126" i="4"/>
  <c r="BZ123" i="4"/>
  <c r="G132" i="4"/>
  <c r="R108" i="4"/>
  <c r="BW108" i="4"/>
  <c r="BW95" i="4"/>
  <c r="CC80" i="4"/>
  <c r="CQ80" i="4"/>
  <c r="CA83" i="4"/>
  <c r="CB84" i="4"/>
  <c r="AL81" i="4"/>
  <c r="E33" i="4"/>
  <c r="E132" i="4" s="1"/>
  <c r="CA81" i="4"/>
  <c r="BC73" i="4"/>
  <c r="AS132" i="4"/>
  <c r="AS133" i="4"/>
  <c r="AS142" i="4" s="1"/>
  <c r="U132" i="4"/>
  <c r="U133" i="4"/>
  <c r="U142" i="4" s="1"/>
  <c r="CP64" i="4"/>
  <c r="AL70" i="4"/>
  <c r="BG132" i="4"/>
  <c r="BF70" i="4"/>
  <c r="CA70" i="4"/>
  <c r="AE95" i="4"/>
  <c r="BV108" i="4"/>
  <c r="M33" i="4"/>
  <c r="M132" i="4" s="1"/>
  <c r="CQ109" i="4"/>
  <c r="CN108" i="4"/>
  <c r="AL91" i="4"/>
  <c r="CQ86" i="4"/>
  <c r="CP36" i="4"/>
  <c r="CA58" i="4"/>
  <c r="CA63" i="4"/>
  <c r="CA61" i="4"/>
  <c r="CA60" i="4"/>
  <c r="AU132" i="4"/>
  <c r="F10" i="4"/>
  <c r="N10" i="4"/>
  <c r="CM24" i="4"/>
  <c r="CC26" i="4"/>
  <c r="CQ28" i="4"/>
  <c r="AL122" i="4"/>
  <c r="BD122" i="4"/>
  <c r="BF122" i="4" s="1"/>
  <c r="CB122" i="4"/>
  <c r="CQ131" i="4"/>
  <c r="BD128" i="4"/>
  <c r="BF128" i="4" s="1"/>
  <c r="AL128" i="4"/>
  <c r="BD123" i="4"/>
  <c r="BF123" i="4" s="1"/>
  <c r="AL123" i="4"/>
  <c r="CB120" i="4"/>
  <c r="CD120" i="4" s="1"/>
  <c r="BZ120" i="4"/>
  <c r="CB117" i="4"/>
  <c r="CD117" i="4" s="1"/>
  <c r="BZ117" i="4"/>
  <c r="BD124" i="4"/>
  <c r="BF124" i="4" s="1"/>
  <c r="AL124" i="4"/>
  <c r="BE114" i="4"/>
  <c r="AK113" i="4"/>
  <c r="BE113" i="4" s="1"/>
  <c r="BZ112" i="4"/>
  <c r="CB112" i="4"/>
  <c r="CD112" i="4" s="1"/>
  <c r="BE101" i="4"/>
  <c r="BX101" i="4"/>
  <c r="BV101" i="4"/>
  <c r="AP108" i="4"/>
  <c r="AN95" i="4"/>
  <c r="AP95" i="4" s="1"/>
  <c r="CC116" i="4"/>
  <c r="BZ115" i="4"/>
  <c r="CQ101" i="4"/>
  <c r="BX104" i="4"/>
  <c r="BV104" i="4"/>
  <c r="BT102" i="4"/>
  <c r="BV102" i="4" s="1"/>
  <c r="BC103" i="4"/>
  <c r="BC102" i="4" s="1"/>
  <c r="AI102" i="4"/>
  <c r="AI100" i="4" s="1"/>
  <c r="BC100" i="4" s="1"/>
  <c r="CQ89" i="4"/>
  <c r="CC114" i="4"/>
  <c r="CC113" i="4" s="1"/>
  <c r="CC108" i="4" s="1"/>
  <c r="CP113" i="4"/>
  <c r="BD105" i="4"/>
  <c r="BF105" i="4" s="1"/>
  <c r="AL105" i="4"/>
  <c r="CQ99" i="4"/>
  <c r="AJ97" i="4"/>
  <c r="AH97" i="4"/>
  <c r="CQ90" i="4"/>
  <c r="BC79" i="4"/>
  <c r="CA79" i="4"/>
  <c r="L100" i="4"/>
  <c r="N102" i="4"/>
  <c r="AL103" i="4"/>
  <c r="CN100" i="4"/>
  <c r="CC96" i="4"/>
  <c r="AT76" i="4"/>
  <c r="AR75" i="4"/>
  <c r="AT75" i="4" s="1"/>
  <c r="AZ76" i="4"/>
  <c r="CC69" i="4"/>
  <c r="CP76" i="4"/>
  <c r="Q75" i="4"/>
  <c r="CP75" i="4" s="1"/>
  <c r="CQ70" i="4"/>
  <c r="CC101" i="4"/>
  <c r="BZ81" i="4"/>
  <c r="CB81" i="4"/>
  <c r="CD81" i="4" s="1"/>
  <c r="BB49" i="4"/>
  <c r="AZ40" i="4"/>
  <c r="BB40" i="4" s="1"/>
  <c r="BD125" i="4"/>
  <c r="BF125" i="4" s="1"/>
  <c r="AL125" i="4"/>
  <c r="CB128" i="4"/>
  <c r="CD128" i="4" s="1"/>
  <c r="CA119" i="4"/>
  <c r="BZ124" i="4"/>
  <c r="CB124" i="4"/>
  <c r="CD124" i="4" s="1"/>
  <c r="CB123" i="4"/>
  <c r="CD123" i="4" s="1"/>
  <c r="BD119" i="4"/>
  <c r="BF119" i="4" s="1"/>
  <c r="AL119" i="4"/>
  <c r="R119" i="4"/>
  <c r="CQ119" i="4" s="1"/>
  <c r="CO119" i="4"/>
  <c r="CC115" i="4"/>
  <c r="BF116" i="4"/>
  <c r="BZ113" i="4"/>
  <c r="CC110" i="4"/>
  <c r="AH104" i="4"/>
  <c r="AJ104" i="4"/>
  <c r="AF100" i="4"/>
  <c r="AH100" i="4" s="1"/>
  <c r="CC112" i="4"/>
  <c r="BC101" i="4"/>
  <c r="CA86" i="4"/>
  <c r="CA75" i="4" s="1"/>
  <c r="BW75" i="4"/>
  <c r="BU113" i="4"/>
  <c r="BI108" i="4"/>
  <c r="BI95" i="4" s="1"/>
  <c r="BI33" i="4" s="1"/>
  <c r="BI132" i="4" s="1"/>
  <c r="BI140" i="4" s="1"/>
  <c r="AJ114" i="4"/>
  <c r="CB114" i="4" s="1"/>
  <c r="AF113" i="4"/>
  <c r="AH114" i="4"/>
  <c r="CQ114" i="4" s="1"/>
  <c r="CO114" i="4"/>
  <c r="CD103" i="4"/>
  <c r="BV78" i="4"/>
  <c r="BX78" i="4"/>
  <c r="R104" i="4"/>
  <c r="CO104" i="4"/>
  <c r="P102" i="4"/>
  <c r="BF103" i="4"/>
  <c r="CN95" i="4"/>
  <c r="BE97" i="4"/>
  <c r="BV86" i="4"/>
  <c r="BX86" i="4"/>
  <c r="CB82" i="4"/>
  <c r="CD82" i="4" s="1"/>
  <c r="BZ82" i="4"/>
  <c r="CC85" i="4"/>
  <c r="BC83" i="4"/>
  <c r="BF83" i="4" s="1"/>
  <c r="AL83" i="4"/>
  <c r="AJ76" i="4"/>
  <c r="BD77" i="4"/>
  <c r="BF77" i="4" s="1"/>
  <c r="AL77" i="4"/>
  <c r="BD99" i="4"/>
  <c r="BF99" i="4" s="1"/>
  <c r="AL99" i="4"/>
  <c r="CQ96" i="4"/>
  <c r="Z75" i="4"/>
  <c r="AH75" i="4" s="1"/>
  <c r="X34" i="4"/>
  <c r="BC72" i="4"/>
  <c r="AL72" i="4"/>
  <c r="BC69" i="4"/>
  <c r="AI64" i="4"/>
  <c r="CA69" i="4"/>
  <c r="BZ63" i="4"/>
  <c r="CB63" i="4"/>
  <c r="CD63" i="4" s="1"/>
  <c r="BZ61" i="4"/>
  <c r="CB61" i="4"/>
  <c r="BZ59" i="4"/>
  <c r="CB59" i="4"/>
  <c r="CD59" i="4" s="1"/>
  <c r="BZ54" i="4"/>
  <c r="BZ52" i="4" s="1"/>
  <c r="CB54" i="4"/>
  <c r="BX52" i="4"/>
  <c r="BE83" i="4"/>
  <c r="CC83" i="4"/>
  <c r="AC33" i="4"/>
  <c r="AC132" i="4" s="1"/>
  <c r="AG34" i="4"/>
  <c r="CQ61" i="4"/>
  <c r="BE64" i="4"/>
  <c r="BW131" i="4"/>
  <c r="BV131" i="4"/>
  <c r="BD129" i="4"/>
  <c r="BF129" i="4" s="1"/>
  <c r="AL129" i="4"/>
  <c r="R122" i="4"/>
  <c r="CQ122" i="4" s="1"/>
  <c r="CO122" i="4"/>
  <c r="CQ127" i="4"/>
  <c r="BX119" i="4"/>
  <c r="BV119" i="4"/>
  <c r="BD118" i="4"/>
  <c r="BF118" i="4" s="1"/>
  <c r="AL118" i="4"/>
  <c r="BD117" i="4"/>
  <c r="BF117" i="4" s="1"/>
  <c r="AL117" i="4"/>
  <c r="BE109" i="4"/>
  <c r="AK108" i="4"/>
  <c r="BE108" i="4" s="1"/>
  <c r="BZ114" i="4"/>
  <c r="AZ108" i="4"/>
  <c r="AZ95" i="4" s="1"/>
  <c r="BB95" i="4" s="1"/>
  <c r="CD109" i="4"/>
  <c r="BZ107" i="4"/>
  <c r="CB107" i="4"/>
  <c r="CD107" i="4" s="1"/>
  <c r="BH95" i="4"/>
  <c r="BJ95" i="4" s="1"/>
  <c r="BJ100" i="4"/>
  <c r="BE104" i="4"/>
  <c r="AK102" i="4"/>
  <c r="AK100" i="4" s="1"/>
  <c r="T100" i="4"/>
  <c r="V102" i="4"/>
  <c r="CA100" i="4"/>
  <c r="BD101" i="4"/>
  <c r="BF101" i="4" s="1"/>
  <c r="AL101" i="4"/>
  <c r="CB96" i="4"/>
  <c r="CD96" i="4" s="1"/>
  <c r="BZ96" i="4"/>
  <c r="BL100" i="4"/>
  <c r="CK100" i="4" s="1"/>
  <c r="CK95" i="4" s="1"/>
  <c r="BN102" i="4"/>
  <c r="BD98" i="4"/>
  <c r="BF98" i="4" s="1"/>
  <c r="AL98" i="4"/>
  <c r="BZ87" i="4"/>
  <c r="CB87" i="4"/>
  <c r="CD87" i="4" s="1"/>
  <c r="BC86" i="4"/>
  <c r="AI75" i="4"/>
  <c r="AI108" i="4"/>
  <c r="BC108" i="4" s="1"/>
  <c r="R71" i="4"/>
  <c r="CQ71" i="4" s="1"/>
  <c r="CO71" i="4"/>
  <c r="AJ71" i="4"/>
  <c r="P64" i="4"/>
  <c r="CQ98" i="4"/>
  <c r="BD89" i="4"/>
  <c r="BF89" i="4" s="1"/>
  <c r="AL89" i="4"/>
  <c r="BV85" i="4"/>
  <c r="BX85" i="4"/>
  <c r="BU34" i="4"/>
  <c r="BD85" i="4"/>
  <c r="BF85" i="4" s="1"/>
  <c r="AL85" i="4"/>
  <c r="CQ85" i="4"/>
  <c r="CD77" i="4"/>
  <c r="AH56" i="4"/>
  <c r="AJ56" i="4"/>
  <c r="BC84" i="4"/>
  <c r="BF84" i="4" s="1"/>
  <c r="CA84" i="4"/>
  <c r="AL84" i="4"/>
  <c r="BK33" i="4"/>
  <c r="BS34" i="4"/>
  <c r="AW133" i="4"/>
  <c r="BI7" i="4" s="1"/>
  <c r="AW132" i="4"/>
  <c r="BD127" i="4"/>
  <c r="BF127" i="4" s="1"/>
  <c r="AL127" i="4"/>
  <c r="CQ128" i="4"/>
  <c r="R113" i="4"/>
  <c r="CO113" i="4"/>
  <c r="CQ117" i="4"/>
  <c r="CM113" i="4"/>
  <c r="CM108" i="4" s="1"/>
  <c r="CB118" i="4"/>
  <c r="CD118" i="4" s="1"/>
  <c r="BZ118" i="4"/>
  <c r="BZ121" i="4"/>
  <c r="CB121" i="4"/>
  <c r="CD121" i="4" s="1"/>
  <c r="BZ109" i="4"/>
  <c r="CM102" i="4"/>
  <c r="CA122" i="4"/>
  <c r="CA108" i="4" s="1"/>
  <c r="BV97" i="4"/>
  <c r="BX97" i="4"/>
  <c r="BZ111" i="4"/>
  <c r="CB111" i="4"/>
  <c r="CD111" i="4" s="1"/>
  <c r="BB100" i="4"/>
  <c r="CQ97" i="4"/>
  <c r="BD86" i="4"/>
  <c r="AL86" i="4"/>
  <c r="CB106" i="4"/>
  <c r="CD106" i="4" s="1"/>
  <c r="BY102" i="4"/>
  <c r="CC103" i="4"/>
  <c r="CC102" i="4" s="1"/>
  <c r="Z113" i="4"/>
  <c r="X108" i="4"/>
  <c r="Q108" i="4"/>
  <c r="CP108" i="4" s="1"/>
  <c r="CQ82" i="4"/>
  <c r="AL73" i="4"/>
  <c r="BD73" i="4"/>
  <c r="BF73" i="4" s="1"/>
  <c r="BZ70" i="4"/>
  <c r="CB70" i="4"/>
  <c r="BD79" i="4"/>
  <c r="AL79" i="4"/>
  <c r="CB79" i="4"/>
  <c r="CD79" i="4" s="1"/>
  <c r="BV76" i="4"/>
  <c r="BX76" i="4"/>
  <c r="CB76" i="4" s="1"/>
  <c r="BT75" i="4"/>
  <c r="BV75" i="4" s="1"/>
  <c r="AK64" i="4"/>
  <c r="CJ40" i="4"/>
  <c r="CJ34" i="4" s="1"/>
  <c r="CJ33" i="4" s="1"/>
  <c r="CJ132" i="4" s="1"/>
  <c r="CQ14" i="4"/>
  <c r="CC71" i="4"/>
  <c r="BY76" i="4"/>
  <c r="BU75" i="4"/>
  <c r="BC96" i="4"/>
  <c r="BF96" i="4" s="1"/>
  <c r="CQ83" i="4"/>
  <c r="P75" i="4"/>
  <c r="R76" i="4"/>
  <c r="CQ74" i="4"/>
  <c r="AH64" i="4"/>
  <c r="R64" i="4"/>
  <c r="O40" i="4"/>
  <c r="K34" i="4"/>
  <c r="N34" i="4" s="1"/>
  <c r="BB65" i="4"/>
  <c r="CQ65" i="4" s="1"/>
  <c r="AZ64" i="4"/>
  <c r="CO65" i="4"/>
  <c r="CQ60" i="4"/>
  <c r="AI49" i="4"/>
  <c r="BC49" i="4" s="1"/>
  <c r="CN49" i="4"/>
  <c r="CB47" i="4"/>
  <c r="BZ47" i="4"/>
  <c r="BX36" i="4"/>
  <c r="BV36" i="4"/>
  <c r="AJ35" i="4"/>
  <c r="AH35" i="4"/>
  <c r="CQ35" i="4" s="1"/>
  <c r="AK76" i="4"/>
  <c r="BJ49" i="4"/>
  <c r="BH40" i="4"/>
  <c r="BT49" i="4"/>
  <c r="CO50" i="4"/>
  <c r="R50" i="4"/>
  <c r="CQ50" i="4" s="1"/>
  <c r="BR40" i="4"/>
  <c r="BV56" i="4"/>
  <c r="BX56" i="4"/>
  <c r="CC25" i="4"/>
  <c r="BT24" i="4"/>
  <c r="BT10" i="4" s="1"/>
  <c r="CA20" i="4"/>
  <c r="BD19" i="4"/>
  <c r="BF19" i="4" s="1"/>
  <c r="AL19" i="4"/>
  <c r="AZ11" i="4"/>
  <c r="BB19" i="4"/>
  <c r="BB11" i="4" s="1"/>
  <c r="BC64" i="4"/>
  <c r="BY35" i="4"/>
  <c r="CA27" i="4"/>
  <c r="CA24" i="4" s="1"/>
  <c r="BD16" i="4"/>
  <c r="BF16" i="4" s="1"/>
  <c r="AL16" i="4"/>
  <c r="BF42" i="4"/>
  <c r="CL49" i="4"/>
  <c r="CL40" i="4" s="1"/>
  <c r="CL34" i="4" s="1"/>
  <c r="CA45" i="4"/>
  <c r="CD45" i="4" s="1"/>
  <c r="BC41" i="4"/>
  <c r="CQ30" i="4"/>
  <c r="AL23" i="4"/>
  <c r="BX19" i="4"/>
  <c r="CK11" i="4"/>
  <c r="CK10" i="4" s="1"/>
  <c r="CQ103" i="4"/>
  <c r="CO56" i="4"/>
  <c r="R56" i="4"/>
  <c r="Y132" i="4"/>
  <c r="BE18" i="4"/>
  <c r="CB41" i="4"/>
  <c r="CD41" i="4" s="1"/>
  <c r="BZ41" i="4"/>
  <c r="CC82" i="4"/>
  <c r="CM64" i="4"/>
  <c r="BD62" i="4"/>
  <c r="BF62" i="4" s="1"/>
  <c r="AL62" i="4"/>
  <c r="BY52" i="4"/>
  <c r="CC53" i="4"/>
  <c r="AL51" i="4"/>
  <c r="BD51" i="4"/>
  <c r="BF51" i="4" s="1"/>
  <c r="J49" i="4"/>
  <c r="H40" i="4"/>
  <c r="H34" i="4" s="1"/>
  <c r="S33" i="4"/>
  <c r="S132" i="4" s="1"/>
  <c r="AE34" i="4"/>
  <c r="V34" i="4"/>
  <c r="CQ42" i="4"/>
  <c r="CP38" i="4"/>
  <c r="BE38" i="4"/>
  <c r="AZ23" i="4"/>
  <c r="AT23" i="4"/>
  <c r="CP97" i="4"/>
  <c r="CQ69" i="4"/>
  <c r="CQ63" i="4"/>
  <c r="BD61" i="4"/>
  <c r="BF61" i="4" s="1"/>
  <c r="AL61" i="4"/>
  <c r="BD55" i="4"/>
  <c r="AL55" i="4"/>
  <c r="F49" i="4"/>
  <c r="D40" i="4"/>
  <c r="D34" i="4" s="1"/>
  <c r="BS40" i="4"/>
  <c r="BW40" i="4" s="1"/>
  <c r="CA47" i="4"/>
  <c r="BX46" i="4"/>
  <c r="CB46" i="4" s="1"/>
  <c r="CD46" i="4" s="1"/>
  <c r="BV46" i="4"/>
  <c r="BD45" i="4"/>
  <c r="BF45" i="4" s="1"/>
  <c r="AL45" i="4"/>
  <c r="V40" i="4"/>
  <c r="AY34" i="4"/>
  <c r="AY33" i="4" s="1"/>
  <c r="AY132" i="4" s="1"/>
  <c r="AM33" i="4"/>
  <c r="CO35" i="4"/>
  <c r="CB27" i="4"/>
  <c r="BZ27" i="4"/>
  <c r="BY18" i="4"/>
  <c r="BU11" i="4"/>
  <c r="BU10" i="4" s="1"/>
  <c r="BW49" i="4"/>
  <c r="CA49" i="4" s="1"/>
  <c r="BF47" i="4"/>
  <c r="BD28" i="4"/>
  <c r="BF27" i="4"/>
  <c r="BD20" i="4"/>
  <c r="BF20" i="4" s="1"/>
  <c r="AL20" i="4"/>
  <c r="AL15" i="4"/>
  <c r="BD15" i="4"/>
  <c r="BF15" i="4" s="1"/>
  <c r="C132" i="4"/>
  <c r="BE102" i="4"/>
  <c r="CQ51" i="4"/>
  <c r="BZ39" i="4"/>
  <c r="BZ66" i="4"/>
  <c r="CB66" i="4"/>
  <c r="CD66" i="4" s="1"/>
  <c r="BV65" i="4"/>
  <c r="BT64" i="4"/>
  <c r="BX65" i="4"/>
  <c r="AE40" i="4"/>
  <c r="CA32" i="4"/>
  <c r="CD32" i="4" s="1"/>
  <c r="BF31" i="4"/>
  <c r="BZ18" i="4"/>
  <c r="P11" i="4"/>
  <c r="R18" i="4"/>
  <c r="CO18" i="4"/>
  <c r="AJ18" i="4"/>
  <c r="BV14" i="4"/>
  <c r="BX14" i="4"/>
  <c r="BX68" i="4"/>
  <c r="BV68" i="4"/>
  <c r="CM20" i="4"/>
  <c r="BJ11" i="4"/>
  <c r="BJ10" i="4" s="1"/>
  <c r="CP18" i="4"/>
  <c r="CC81" i="4"/>
  <c r="AX34" i="4"/>
  <c r="AV33" i="4"/>
  <c r="AD49" i="4"/>
  <c r="AB40" i="4"/>
  <c r="CP50" i="4"/>
  <c r="BE50" i="4"/>
  <c r="BV38" i="4"/>
  <c r="BX38" i="4"/>
  <c r="AH36" i="4"/>
  <c r="AJ36" i="4"/>
  <c r="BX35" i="4"/>
  <c r="BV35" i="4"/>
  <c r="BX16" i="4"/>
  <c r="BV16" i="4"/>
  <c r="CC97" i="4"/>
  <c r="BZ83" i="4"/>
  <c r="CB83" i="4"/>
  <c r="CD83" i="4" s="1"/>
  <c r="AG52" i="4"/>
  <c r="AG40" i="4" s="1"/>
  <c r="AK54" i="4"/>
  <c r="AH52" i="4"/>
  <c r="BX51" i="4"/>
  <c r="BV51" i="4"/>
  <c r="CK40" i="4"/>
  <c r="AJ38" i="4"/>
  <c r="CO38" i="4"/>
  <c r="AH38" i="4"/>
  <c r="BY36" i="4"/>
  <c r="CC36" i="4" s="1"/>
  <c r="CP35" i="4"/>
  <c r="BN40" i="4"/>
  <c r="BL34" i="4"/>
  <c r="AK38" i="4"/>
  <c r="CO36" i="4"/>
  <c r="R36" i="4"/>
  <c r="CQ36" i="4" s="1"/>
  <c r="BD30" i="4"/>
  <c r="BF30" i="4" s="1"/>
  <c r="AL30" i="4"/>
  <c r="BE25" i="4"/>
  <c r="AK24" i="4"/>
  <c r="BE24" i="4" s="1"/>
  <c r="V11" i="4"/>
  <c r="V10" i="4" s="1"/>
  <c r="CA18" i="4"/>
  <c r="CA11" i="4" s="1"/>
  <c r="BW11" i="4"/>
  <c r="BW10" i="4" s="1"/>
  <c r="AL17" i="4"/>
  <c r="BD17" i="4"/>
  <c r="BZ13" i="4"/>
  <c r="CB13" i="4"/>
  <c r="CD13" i="4" s="1"/>
  <c r="AR10" i="4"/>
  <c r="CQ62" i="4"/>
  <c r="CQ58" i="4"/>
  <c r="P49" i="4"/>
  <c r="AL47" i="4"/>
  <c r="BE36" i="4"/>
  <c r="AE10" i="4"/>
  <c r="BP10" i="4"/>
  <c r="CO25" i="4"/>
  <c r="AZ24" i="4"/>
  <c r="BB25" i="4"/>
  <c r="CQ25" i="4" s="1"/>
  <c r="BB68" i="4"/>
  <c r="CQ68" i="4" s="1"/>
  <c r="BD68" i="4"/>
  <c r="BF68" i="4" s="1"/>
  <c r="AK49" i="4"/>
  <c r="BD43" i="4"/>
  <c r="BF43" i="4" s="1"/>
  <c r="AL43" i="4"/>
  <c r="AL32" i="4"/>
  <c r="AL31" i="4"/>
  <c r="BX15" i="4"/>
  <c r="BV15" i="4"/>
  <c r="AL9" i="4"/>
  <c r="BD9" i="4"/>
  <c r="BF9" i="4" s="1"/>
  <c r="CN102" i="4"/>
  <c r="BZ28" i="4"/>
  <c r="BX20" i="4"/>
  <c r="BV20" i="4"/>
  <c r="BV11" i="4" s="1"/>
  <c r="CC16" i="4"/>
  <c r="AH76" i="4"/>
  <c r="AF75" i="4"/>
  <c r="BU64" i="4"/>
  <c r="BY65" i="4"/>
  <c r="BZ62" i="4"/>
  <c r="CB62" i="4"/>
  <c r="CD62" i="4" s="1"/>
  <c r="BZ60" i="4"/>
  <c r="CB60" i="4"/>
  <c r="CD60" i="4" s="1"/>
  <c r="BZ58" i="4"/>
  <c r="CB58" i="4"/>
  <c r="CD58" i="4" s="1"/>
  <c r="BZ55" i="4"/>
  <c r="CB55" i="4"/>
  <c r="CD55" i="4" s="1"/>
  <c r="CQ54" i="4"/>
  <c r="R52" i="4"/>
  <c r="BR76" i="4"/>
  <c r="BP75" i="4"/>
  <c r="BR75" i="4" s="1"/>
  <c r="BF72" i="4"/>
  <c r="CC56" i="4"/>
  <c r="CQ55" i="4"/>
  <c r="BD50" i="4"/>
  <c r="BF50" i="4" s="1"/>
  <c r="AL50" i="4"/>
  <c r="AF49" i="4"/>
  <c r="CD44" i="4"/>
  <c r="BD58" i="4"/>
  <c r="BF58" i="4" s="1"/>
  <c r="AL58" i="4"/>
  <c r="AL52" i="4"/>
  <c r="AT49" i="4"/>
  <c r="AR40" i="4"/>
  <c r="BC44" i="4"/>
  <c r="BF44" i="4" s="1"/>
  <c r="AL44" i="4"/>
  <c r="BF41" i="4"/>
  <c r="CL95" i="4"/>
  <c r="CQ77" i="4"/>
  <c r="BD69" i="4"/>
  <c r="BF69" i="4" s="1"/>
  <c r="AL69" i="4"/>
  <c r="BD65" i="4"/>
  <c r="AL65" i="4"/>
  <c r="AJ64" i="4"/>
  <c r="CQ59" i="4"/>
  <c r="CP56" i="4"/>
  <c r="CQ53" i="4"/>
  <c r="BX50" i="4"/>
  <c r="BD46" i="4"/>
  <c r="BF46" i="4" s="1"/>
  <c r="AL46" i="4"/>
  <c r="CQ38" i="4"/>
  <c r="BA49" i="4"/>
  <c r="BA40" i="4" s="1"/>
  <c r="BY40" i="4" s="1"/>
  <c r="AO40" i="4"/>
  <c r="AO34" i="4" s="1"/>
  <c r="CL24" i="4"/>
  <c r="CL10" i="4" s="1"/>
  <c r="CP25" i="4"/>
  <c r="CP20" i="4"/>
  <c r="AK20" i="4"/>
  <c r="BE20" i="4" s="1"/>
  <c r="AH19" i="4"/>
  <c r="CQ19" i="4" s="1"/>
  <c r="CO19" i="4"/>
  <c r="AF11" i="4"/>
  <c r="AF10" i="4" s="1"/>
  <c r="CQ17" i="4"/>
  <c r="AP40" i="4"/>
  <c r="AN34" i="4"/>
  <c r="AT10" i="4"/>
  <c r="AI11" i="4"/>
  <c r="CB69" i="4"/>
  <c r="CD69" i="4" s="1"/>
  <c r="CA31" i="4"/>
  <c r="CD31" i="4" s="1"/>
  <c r="BX25" i="4"/>
  <c r="BV25" i="4"/>
  <c r="CO22" i="4"/>
  <c r="R22" i="4"/>
  <c r="CQ22" i="4" s="1"/>
  <c r="CQ15" i="4"/>
  <c r="BC75" i="4"/>
  <c r="AL42" i="4"/>
  <c r="BW64" i="4"/>
  <c r="CC50" i="4"/>
  <c r="BF32" i="4"/>
  <c r="AL27" i="4"/>
  <c r="BC25" i="4"/>
  <c r="BF25" i="4" s="1"/>
  <c r="AI24" i="4"/>
  <c r="BC24" i="4" s="1"/>
  <c r="AL25" i="4"/>
  <c r="O10" i="4"/>
  <c r="CN24" i="4"/>
  <c r="AJ22" i="4"/>
  <c r="CA16" i="4"/>
  <c r="BL10" i="4"/>
  <c r="BZ8" i="4"/>
  <c r="CB8" i="4"/>
  <c r="CD8" i="4" s="1"/>
  <c r="CC60" i="4"/>
  <c r="BC12" i="4"/>
  <c r="AL12" i="4"/>
  <c r="Q11" i="4"/>
  <c r="CB105" i="3"/>
  <c r="CD105" i="3" s="1"/>
  <c r="BZ105" i="3"/>
  <c r="AK134" i="3"/>
  <c r="BY134" i="3"/>
  <c r="BE20" i="3"/>
  <c r="BY20" i="3"/>
  <c r="CC20" i="3" s="1"/>
  <c r="AD9" i="3"/>
  <c r="Z9" i="3"/>
  <c r="CQ21" i="3"/>
  <c r="N9" i="3"/>
  <c r="CM22" i="3"/>
  <c r="BE22" i="3"/>
  <c r="BE21" i="3"/>
  <c r="BD14" i="3"/>
  <c r="BF14" i="3" s="1"/>
  <c r="AL14" i="3"/>
  <c r="BW10" i="3"/>
  <c r="CB25" i="3"/>
  <c r="BZ25" i="3"/>
  <c r="BW27" i="3"/>
  <c r="CA27" i="3" s="1"/>
  <c r="CC28" i="3"/>
  <c r="AJ37" i="3"/>
  <c r="AH37" i="3"/>
  <c r="CC7" i="3"/>
  <c r="CA12" i="3"/>
  <c r="CC12" i="3"/>
  <c r="BD15" i="3"/>
  <c r="BF15" i="3" s="1"/>
  <c r="AL15" i="3"/>
  <c r="CA15" i="3"/>
  <c r="CO16" i="3"/>
  <c r="CO17" i="3"/>
  <c r="AJ17" i="3"/>
  <c r="R17" i="3"/>
  <c r="AH10" i="3"/>
  <c r="AS9" i="3"/>
  <c r="BN9" i="3"/>
  <c r="BM9" i="3"/>
  <c r="CP21" i="3"/>
  <c r="CN23" i="3"/>
  <c r="AH23" i="3"/>
  <c r="BZ26" i="3"/>
  <c r="AH27" i="3"/>
  <c r="BB27" i="3"/>
  <c r="BX27" i="3"/>
  <c r="BV27" i="3"/>
  <c r="AL28" i="3"/>
  <c r="BD28" i="3"/>
  <c r="BF28" i="3" s="1"/>
  <c r="CB29" i="3"/>
  <c r="CD29" i="3" s="1"/>
  <c r="BZ30" i="3"/>
  <c r="F33" i="3"/>
  <c r="AK34" i="3"/>
  <c r="CA34" i="3"/>
  <c r="BE35" i="3"/>
  <c r="CP35" i="3"/>
  <c r="CP36" i="3"/>
  <c r="BE36" i="3"/>
  <c r="AC33" i="3"/>
  <c r="AC32" i="3" s="1"/>
  <c r="BW39" i="3"/>
  <c r="CQ40" i="3"/>
  <c r="CC40" i="3"/>
  <c r="BE41" i="3"/>
  <c r="CP41" i="3"/>
  <c r="AK41" i="3"/>
  <c r="CC41" i="3" s="1"/>
  <c r="BD42" i="3"/>
  <c r="CB42" i="3"/>
  <c r="BZ42" i="3"/>
  <c r="BC43" i="3"/>
  <c r="BF43" i="3" s="1"/>
  <c r="AL43" i="3"/>
  <c r="CQ44" i="3"/>
  <c r="CA44" i="3"/>
  <c r="CQ46" i="3"/>
  <c r="CC46" i="3"/>
  <c r="CA47" i="3"/>
  <c r="CD47" i="3" s="1"/>
  <c r="AI48" i="3"/>
  <c r="BC48" i="3" s="1"/>
  <c r="BW48" i="3"/>
  <c r="CA48" i="3" s="1"/>
  <c r="R49" i="3"/>
  <c r="AK55" i="3"/>
  <c r="BE55" i="3" s="1"/>
  <c r="BZ12" i="3"/>
  <c r="CM37" i="3"/>
  <c r="BR33" i="3"/>
  <c r="BD40" i="3"/>
  <c r="CC42" i="3"/>
  <c r="BZ44" i="3"/>
  <c r="E39" i="3"/>
  <c r="E33" i="3" s="1"/>
  <c r="Q48" i="3"/>
  <c r="M39" i="3"/>
  <c r="Q39" i="3" s="1"/>
  <c r="BT48" i="3"/>
  <c r="BJ48" i="3"/>
  <c r="BH39" i="3"/>
  <c r="BC50" i="3"/>
  <c r="CA50" i="3"/>
  <c r="BD66" i="3"/>
  <c r="CN10" i="3"/>
  <c r="O9" i="3"/>
  <c r="AC131" i="3"/>
  <c r="BY22" i="3"/>
  <c r="CC22" i="3" s="1"/>
  <c r="CA28" i="3"/>
  <c r="AL29" i="3"/>
  <c r="BD29" i="3"/>
  <c r="BF29" i="3" s="1"/>
  <c r="AJ30" i="3"/>
  <c r="CC35" i="3"/>
  <c r="BD36" i="3"/>
  <c r="BF36" i="3" s="1"/>
  <c r="AL36" i="3"/>
  <c r="V33" i="3"/>
  <c r="BD7" i="3"/>
  <c r="BF7" i="3" s="1"/>
  <c r="AL7" i="3"/>
  <c r="CA7" i="3"/>
  <c r="BZ8" i="3"/>
  <c r="CO11" i="3"/>
  <c r="AJ11" i="3"/>
  <c r="R11" i="3"/>
  <c r="CQ11" i="3" s="1"/>
  <c r="AE9" i="3"/>
  <c r="CP11" i="3"/>
  <c r="CB11" i="3"/>
  <c r="BZ11" i="3"/>
  <c r="CQ13" i="3"/>
  <c r="CM14" i="3"/>
  <c r="BS9" i="3"/>
  <c r="BD16" i="3"/>
  <c r="AL16" i="3"/>
  <c r="CA16" i="3"/>
  <c r="AK18" i="3"/>
  <c r="AX9" i="3"/>
  <c r="CA22" i="3"/>
  <c r="BD25" i="3"/>
  <c r="BF25" i="3" s="1"/>
  <c r="AL25" i="3"/>
  <c r="CA25" i="3"/>
  <c r="CM27" i="3"/>
  <c r="AH34" i="3"/>
  <c r="BC35" i="3"/>
  <c r="AK36" i="3"/>
  <c r="CA36" i="3"/>
  <c r="BZ38" i="3"/>
  <c r="AT39" i="3"/>
  <c r="CB40" i="3"/>
  <c r="BZ40" i="3"/>
  <c r="CB43" i="3"/>
  <c r="CD43" i="3" s="1"/>
  <c r="BZ43" i="3"/>
  <c r="CC44" i="3"/>
  <c r="R45" i="3"/>
  <c r="CA45" i="3"/>
  <c r="BD46" i="3"/>
  <c r="BF46" i="3" s="1"/>
  <c r="AL46" i="3"/>
  <c r="CA46" i="3"/>
  <c r="AG48" i="3"/>
  <c r="BA48" i="3"/>
  <c r="CJ9" i="3"/>
  <c r="CA18" i="3"/>
  <c r="R37" i="3"/>
  <c r="CQ37" i="3" s="1"/>
  <c r="CO41" i="3"/>
  <c r="R41" i="3"/>
  <c r="CQ41" i="3" s="1"/>
  <c r="AJ41" i="3"/>
  <c r="CB41" i="3"/>
  <c r="BZ41" i="3"/>
  <c r="CA42" i="3"/>
  <c r="AK45" i="3"/>
  <c r="AN1" i="3" s="1"/>
  <c r="AK50" i="3"/>
  <c r="AI11" i="3"/>
  <c r="BC11" i="3" s="1"/>
  <c r="BU11" i="3"/>
  <c r="BY11" i="3" s="1"/>
  <c r="CC11" i="3" s="1"/>
  <c r="AJ26" i="3"/>
  <c r="CB26" i="3" s="1"/>
  <c r="CD26" i="3" s="1"/>
  <c r="P34" i="3"/>
  <c r="P35" i="3"/>
  <c r="AG37" i="3"/>
  <c r="AK37" i="3" s="1"/>
  <c r="BE43" i="3"/>
  <c r="AZ45" i="3"/>
  <c r="BX45" i="3" s="1"/>
  <c r="BX7" i="3"/>
  <c r="AJ8" i="3"/>
  <c r="BX13" i="3"/>
  <c r="BW14" i="3"/>
  <c r="CA14" i="3" s="1"/>
  <c r="BT22" i="3"/>
  <c r="CK22" i="3"/>
  <c r="AI24" i="3"/>
  <c r="CA24" i="3" s="1"/>
  <c r="P30" i="3"/>
  <c r="BU34" i="3"/>
  <c r="AZ37" i="3"/>
  <c r="BB37" i="3" s="1"/>
  <c r="AI41" i="3"/>
  <c r="BC41" i="3" s="1"/>
  <c r="BX46" i="3"/>
  <c r="BV51" i="3"/>
  <c r="AK53" i="3"/>
  <c r="BE53" i="3" s="1"/>
  <c r="CL55" i="3"/>
  <c r="CP55" i="3" s="1"/>
  <c r="CP56" i="3"/>
  <c r="CO58" i="3"/>
  <c r="AH58" i="3"/>
  <c r="AJ58" i="3"/>
  <c r="CN59" i="3"/>
  <c r="R59" i="3"/>
  <c r="R71" i="3"/>
  <c r="G131" i="3"/>
  <c r="W131" i="3"/>
  <c r="AQ131" i="3"/>
  <c r="BK131" i="3"/>
  <c r="AJ12" i="3"/>
  <c r="CB12" i="3" s="1"/>
  <c r="CD12" i="3" s="1"/>
  <c r="BT14" i="3"/>
  <c r="CK14" i="3"/>
  <c r="CO14" i="3" s="1"/>
  <c r="CL17" i="3"/>
  <c r="AI18" i="3"/>
  <c r="BC18" i="3" s="1"/>
  <c r="BU18" i="3"/>
  <c r="Q19" i="3"/>
  <c r="AJ21" i="3"/>
  <c r="CO21" i="3"/>
  <c r="CL22" i="3"/>
  <c r="CP22" i="3" s="1"/>
  <c r="Q24" i="3"/>
  <c r="BX31" i="3"/>
  <c r="BV41" i="3"/>
  <c r="BE42" i="3"/>
  <c r="BV42" i="3"/>
  <c r="R43" i="3"/>
  <c r="BB43" i="3"/>
  <c r="AJ44" i="3"/>
  <c r="BV44" i="3"/>
  <c r="AJ45" i="3"/>
  <c r="BA45" i="3"/>
  <c r="BA39" i="3" s="1"/>
  <c r="CP46" i="3"/>
  <c r="R47" i="3"/>
  <c r="CQ47" i="3" s="1"/>
  <c r="N49" i="3"/>
  <c r="BJ49" i="3"/>
  <c r="CM49" i="3" s="1"/>
  <c r="CM48" i="3" s="1"/>
  <c r="CM39" i="3" s="1"/>
  <c r="BU49" i="3"/>
  <c r="CK49" i="3"/>
  <c r="CK48" i="3" s="1"/>
  <c r="Q50" i="3"/>
  <c r="AZ50" i="3"/>
  <c r="BB50" i="3" s="1"/>
  <c r="CM50" i="3"/>
  <c r="BU50" i="3"/>
  <c r="E51" i="3"/>
  <c r="P51" i="3"/>
  <c r="CO51" i="3" s="1"/>
  <c r="AF51" i="3"/>
  <c r="BW52" i="3"/>
  <c r="BX52" i="3"/>
  <c r="R53" i="3"/>
  <c r="CQ53" i="3" s="1"/>
  <c r="AZ55" i="3"/>
  <c r="BB55" i="3" s="1"/>
  <c r="BS55" i="3"/>
  <c r="BW55" i="3" s="1"/>
  <c r="CA55" i="3" s="1"/>
  <c r="CM55" i="3"/>
  <c r="CO57" i="3"/>
  <c r="AH57" i="3"/>
  <c r="AJ57" i="3"/>
  <c r="CN58" i="3"/>
  <c r="R58" i="3"/>
  <c r="CQ58" i="3" s="1"/>
  <c r="BE58" i="3"/>
  <c r="AI59" i="3"/>
  <c r="BC59" i="3" s="1"/>
  <c r="BX59" i="3"/>
  <c r="BY60" i="3"/>
  <c r="CC60" i="3" s="1"/>
  <c r="CO61" i="3"/>
  <c r="AH61" i="3"/>
  <c r="AJ61" i="3"/>
  <c r="CC66" i="3"/>
  <c r="AJ67" i="3"/>
  <c r="BV67" i="3"/>
  <c r="P68" i="3"/>
  <c r="L63" i="3"/>
  <c r="N68" i="3"/>
  <c r="N63" i="3" s="1"/>
  <c r="BZ68" i="3"/>
  <c r="AT84" i="3"/>
  <c r="AR75" i="3"/>
  <c r="AZ75" i="3" s="1"/>
  <c r="CC6" i="3"/>
  <c r="BX17" i="3"/>
  <c r="BP18" i="3"/>
  <c r="P23" i="3"/>
  <c r="BT23" i="3"/>
  <c r="BA34" i="3"/>
  <c r="BE34" i="3" s="1"/>
  <c r="CL34" i="3"/>
  <c r="CO42" i="3"/>
  <c r="AI44" i="3"/>
  <c r="BC44" i="3" s="1"/>
  <c r="BX47" i="3"/>
  <c r="BZ47" i="3" s="1"/>
  <c r="BA49" i="3"/>
  <c r="BT49" i="3"/>
  <c r="P50" i="3"/>
  <c r="CM51" i="3"/>
  <c r="CP65" i="3"/>
  <c r="AG63" i="3"/>
  <c r="CP63" i="3" s="1"/>
  <c r="AK65" i="3"/>
  <c r="BE65" i="3" s="1"/>
  <c r="R66" i="3"/>
  <c r="CQ66" i="3" s="1"/>
  <c r="CO66" i="3"/>
  <c r="AM131" i="3"/>
  <c r="BO131" i="3"/>
  <c r="AJ13" i="3"/>
  <c r="CL13" i="3"/>
  <c r="CL10" i="3" s="1"/>
  <c r="BU17" i="3"/>
  <c r="BY17" i="3" s="1"/>
  <c r="P18" i="3"/>
  <c r="AZ19" i="3"/>
  <c r="BB19" i="3" s="1"/>
  <c r="BB10" i="3" s="1"/>
  <c r="AF22" i="3"/>
  <c r="AZ24" i="3"/>
  <c r="CJ27" i="3"/>
  <c r="CN27" i="3" s="1"/>
  <c r="BX28" i="3"/>
  <c r="F34" i="3"/>
  <c r="AF35" i="3"/>
  <c r="AI38" i="3"/>
  <c r="BC38" i="3" s="1"/>
  <c r="BF38" i="3" s="1"/>
  <c r="AC132" i="3"/>
  <c r="AC141" i="3" s="1"/>
  <c r="D9" i="3"/>
  <c r="X9" i="3"/>
  <c r="AB9" i="3"/>
  <c r="H10" i="3"/>
  <c r="H9" i="3" s="1"/>
  <c r="L10" i="3"/>
  <c r="L9" i="3" s="1"/>
  <c r="T10" i="3"/>
  <c r="T9" i="3" s="1"/>
  <c r="AF10" i="3"/>
  <c r="AF9" i="3" s="1"/>
  <c r="AN10" i="3"/>
  <c r="AN9" i="3" s="1"/>
  <c r="AR10" i="3"/>
  <c r="AR9" i="3" s="1"/>
  <c r="AV10" i="3"/>
  <c r="AV9" i="3" s="1"/>
  <c r="BH10" i="3"/>
  <c r="BH9" i="3" s="1"/>
  <c r="BL10" i="3"/>
  <c r="BL9" i="3" s="1"/>
  <c r="BP10" i="3"/>
  <c r="BP9" i="3" s="1"/>
  <c r="F11" i="3"/>
  <c r="F9" i="3" s="1"/>
  <c r="BU14" i="3"/>
  <c r="BY14" i="3" s="1"/>
  <c r="CC14" i="3" s="1"/>
  <c r="CP14" i="3"/>
  <c r="R15" i="3"/>
  <c r="CQ15" i="3" s="1"/>
  <c r="BT15" i="3"/>
  <c r="CO15" i="3"/>
  <c r="AH16" i="3"/>
  <c r="CN16" i="3"/>
  <c r="J17" i="3"/>
  <c r="J10" i="3" s="1"/>
  <c r="J9" i="3" s="1"/>
  <c r="V18" i="3"/>
  <c r="V10" i="3" s="1"/>
  <c r="V9" i="3" s="1"/>
  <c r="R19" i="3"/>
  <c r="AJ19" i="3"/>
  <c r="BJ19" i="3"/>
  <c r="BT19" i="3"/>
  <c r="R24" i="3"/>
  <c r="AG24" i="3"/>
  <c r="BJ24" i="3"/>
  <c r="CM24" i="3" s="1"/>
  <c r="CM23" i="3" s="1"/>
  <c r="BT24" i="3"/>
  <c r="AH25" i="3"/>
  <c r="CQ25" i="3" s="1"/>
  <c r="CO25" i="3"/>
  <c r="CO26" i="3"/>
  <c r="H27" i="3"/>
  <c r="J27" i="3" s="1"/>
  <c r="R28" i="3"/>
  <c r="CQ28" i="3" s="1"/>
  <c r="BZ29" i="3"/>
  <c r="AL31" i="3"/>
  <c r="M33" i="3"/>
  <c r="U33" i="3"/>
  <c r="AO33" i="3"/>
  <c r="N34" i="3"/>
  <c r="AT34" i="3"/>
  <c r="AP35" i="3"/>
  <c r="BU36" i="3"/>
  <c r="BY36" i="3" s="1"/>
  <c r="CC36" i="3" s="1"/>
  <c r="BU37" i="3"/>
  <c r="BY37" i="3" s="1"/>
  <c r="V39" i="3"/>
  <c r="BR39" i="3"/>
  <c r="BE40" i="3"/>
  <c r="BV40" i="3"/>
  <c r="AJ47" i="3"/>
  <c r="BE47" i="3"/>
  <c r="H48" i="3"/>
  <c r="L48" i="3"/>
  <c r="X48" i="3"/>
  <c r="AB48" i="3"/>
  <c r="AN48" i="3"/>
  <c r="AV48" i="3"/>
  <c r="AF49" i="3"/>
  <c r="CL49" i="3"/>
  <c r="CL48" i="3" s="1"/>
  <c r="CL39" i="3" s="1"/>
  <c r="AF50" i="3"/>
  <c r="V50" i="3"/>
  <c r="BA50" i="3"/>
  <c r="Q51" i="3"/>
  <c r="CP51" i="3" s="1"/>
  <c r="AG51" i="3"/>
  <c r="AH52" i="3"/>
  <c r="CO52" i="3"/>
  <c r="BW53" i="3"/>
  <c r="AI54" i="3"/>
  <c r="AJ55" i="3"/>
  <c r="AH55" i="3"/>
  <c r="CN57" i="3"/>
  <c r="R57" i="3"/>
  <c r="CQ57" i="3" s="1"/>
  <c r="CB58" i="3"/>
  <c r="CO60" i="3"/>
  <c r="AH60" i="3"/>
  <c r="AJ60" i="3"/>
  <c r="CP60" i="3"/>
  <c r="CN61" i="3"/>
  <c r="R61" i="3"/>
  <c r="BD64" i="3"/>
  <c r="BV71" i="3"/>
  <c r="BW71" i="3"/>
  <c r="CA71" i="3" s="1"/>
  <c r="BF73" i="3"/>
  <c r="BZ73" i="3"/>
  <c r="CB73" i="3"/>
  <c r="AE74" i="3"/>
  <c r="AI75" i="3"/>
  <c r="CN75" i="3"/>
  <c r="AH87" i="3"/>
  <c r="AI87" i="3"/>
  <c r="CN90" i="3"/>
  <c r="R90" i="3"/>
  <c r="CN14" i="3"/>
  <c r="BY16" i="3"/>
  <c r="BA18" i="3"/>
  <c r="AI42" i="3"/>
  <c r="BC42" i="3" s="1"/>
  <c r="Q49" i="3"/>
  <c r="CO54" i="3"/>
  <c r="AH54" i="3"/>
  <c r="CO55" i="3"/>
  <c r="R55" i="3"/>
  <c r="BX55" i="3"/>
  <c r="CN68" i="3"/>
  <c r="AH68" i="3"/>
  <c r="R70" i="3"/>
  <c r="CQ70" i="3" s="1"/>
  <c r="CO70" i="3"/>
  <c r="C131" i="3"/>
  <c r="S131" i="3"/>
  <c r="AU131" i="3"/>
  <c r="BR16" i="3"/>
  <c r="CM16" i="3" s="1"/>
  <c r="AG17" i="3"/>
  <c r="BX21" i="3"/>
  <c r="AJ24" i="3"/>
  <c r="AK25" i="3"/>
  <c r="BE25" i="3" s="1"/>
  <c r="AK26" i="3"/>
  <c r="Q30" i="3"/>
  <c r="CP30" i="3" s="1"/>
  <c r="CO31" i="3"/>
  <c r="BX36" i="3"/>
  <c r="CO36" i="3"/>
  <c r="BT37" i="3"/>
  <c r="CK37" i="3"/>
  <c r="AI40" i="3"/>
  <c r="Q6" i="3"/>
  <c r="AG6" i="3"/>
  <c r="BE6" i="3"/>
  <c r="AH12" i="3"/>
  <c r="CQ12" i="3" s="1"/>
  <c r="R16" i="3"/>
  <c r="CQ16" i="3" s="1"/>
  <c r="BT16" i="3"/>
  <c r="AI17" i="3"/>
  <c r="AP18" i="3"/>
  <c r="AP10" i="3" s="1"/>
  <c r="AP9" i="3" s="1"/>
  <c r="BU19" i="3"/>
  <c r="BY19" i="3" s="1"/>
  <c r="AT22" i="3"/>
  <c r="AT9" i="3" s="1"/>
  <c r="BU24" i="3"/>
  <c r="BY24" i="3" s="1"/>
  <c r="AP34" i="3"/>
  <c r="BJ34" i="3"/>
  <c r="CM34" i="3" s="1"/>
  <c r="BT34" i="3"/>
  <c r="BJ35" i="3"/>
  <c r="CM35" i="3" s="1"/>
  <c r="BT35" i="3"/>
  <c r="V37" i="3"/>
  <c r="BI48" i="3"/>
  <c r="BA51" i="3"/>
  <c r="R52" i="3"/>
  <c r="AK52" i="3"/>
  <c r="BB52" i="3"/>
  <c r="BB51" i="3" s="1"/>
  <c r="CC52" i="3"/>
  <c r="BY51" i="3"/>
  <c r="CN53" i="3"/>
  <c r="AJ53" i="3"/>
  <c r="BB53" i="3"/>
  <c r="R54" i="3"/>
  <c r="CQ54" i="3" s="1"/>
  <c r="AJ54" i="3"/>
  <c r="AI57" i="3"/>
  <c r="BX57" i="3"/>
  <c r="BY58" i="3"/>
  <c r="CC58" i="3" s="1"/>
  <c r="CO59" i="3"/>
  <c r="AH59" i="3"/>
  <c r="AJ59" i="3"/>
  <c r="CP59" i="3"/>
  <c r="CN60" i="3"/>
  <c r="R60" i="3"/>
  <c r="CQ60" i="3" s="1"/>
  <c r="BE60" i="3"/>
  <c r="BZ60" i="3"/>
  <c r="AI61" i="3"/>
  <c r="BC61" i="3" s="1"/>
  <c r="BX61" i="3"/>
  <c r="AE63" i="3"/>
  <c r="CN64" i="3"/>
  <c r="AI64" i="3"/>
  <c r="BY65" i="3"/>
  <c r="CC65" i="3" s="1"/>
  <c r="AI68" i="3"/>
  <c r="BC68" i="3" s="1"/>
  <c r="BW69" i="3"/>
  <c r="AZ71" i="3"/>
  <c r="AX71" i="3"/>
  <c r="BY75" i="3"/>
  <c r="CP95" i="3"/>
  <c r="AK95" i="3"/>
  <c r="BC95" i="3"/>
  <c r="R96" i="3"/>
  <c r="V96" i="3"/>
  <c r="AF96" i="3"/>
  <c r="AI52" i="3"/>
  <c r="AT51" i="3"/>
  <c r="BN51" i="3"/>
  <c r="BX54" i="3"/>
  <c r="BY55" i="3"/>
  <c r="CC55" i="3" s="1"/>
  <c r="CA58" i="3"/>
  <c r="CA60" i="3"/>
  <c r="CA61" i="3"/>
  <c r="R62" i="3"/>
  <c r="CA62" i="3"/>
  <c r="Y63" i="3"/>
  <c r="Y33" i="3" s="1"/>
  <c r="O63" i="3"/>
  <c r="AH64" i="3"/>
  <c r="AF63" i="3"/>
  <c r="AY63" i="3"/>
  <c r="CJ63" i="3"/>
  <c r="R65" i="3"/>
  <c r="CQ65" i="3" s="1"/>
  <c r="P63" i="3"/>
  <c r="CO65" i="3"/>
  <c r="AJ65" i="3"/>
  <c r="BV65" i="3"/>
  <c r="AI66" i="3"/>
  <c r="AK66" i="3"/>
  <c r="BE66" i="3" s="1"/>
  <c r="BV66" i="3"/>
  <c r="CP67" i="3"/>
  <c r="AJ68" i="3"/>
  <c r="BW68" i="3"/>
  <c r="CA68" i="3" s="1"/>
  <c r="AK69" i="3"/>
  <c r="BB69" i="3"/>
  <c r="CM69" i="3"/>
  <c r="CP71" i="3"/>
  <c r="CQ72" i="3"/>
  <c r="AK72" i="3"/>
  <c r="BE72" i="3" s="1"/>
  <c r="CO72" i="3"/>
  <c r="CN73" i="3"/>
  <c r="AH73" i="3"/>
  <c r="CQ73" i="3" s="1"/>
  <c r="AL73" i="3"/>
  <c r="BW73" i="3"/>
  <c r="CA73" i="3" s="1"/>
  <c r="L74" i="3"/>
  <c r="N74" i="3" s="1"/>
  <c r="P75" i="3"/>
  <c r="AK76" i="3"/>
  <c r="CP76" i="3"/>
  <c r="CM75" i="3"/>
  <c r="BV76" i="3"/>
  <c r="R84" i="3"/>
  <c r="CA84" i="3"/>
  <c r="BJ100" i="3"/>
  <c r="CM100" i="3" s="1"/>
  <c r="CK100" i="3"/>
  <c r="BT100" i="3"/>
  <c r="BH99" i="3"/>
  <c r="CO62" i="3"/>
  <c r="AH62" i="3"/>
  <c r="BX62" i="3"/>
  <c r="CO64" i="3"/>
  <c r="BB64" i="3"/>
  <c r="AI65" i="3"/>
  <c r="AZ67" i="3"/>
  <c r="AZ63" i="3" s="1"/>
  <c r="AN63" i="3"/>
  <c r="AV63" i="3"/>
  <c r="CM67" i="3"/>
  <c r="J68" i="3"/>
  <c r="J63" i="3" s="1"/>
  <c r="H63" i="3"/>
  <c r="CN70" i="3"/>
  <c r="BB70" i="3"/>
  <c r="BZ70" i="3"/>
  <c r="BY71" i="3"/>
  <c r="CC71" i="3" s="1"/>
  <c r="BD72" i="3"/>
  <c r="V75" i="3"/>
  <c r="AP75" i="3"/>
  <c r="AN74" i="3"/>
  <c r="AP74" i="3" s="1"/>
  <c r="CO76" i="3"/>
  <c r="AJ76" i="3"/>
  <c r="R76" i="3"/>
  <c r="AH80" i="3"/>
  <c r="AJ80" i="3"/>
  <c r="BB81" i="3"/>
  <c r="BX81" i="3"/>
  <c r="CK84" i="3"/>
  <c r="BL75" i="3"/>
  <c r="BT84" i="3"/>
  <c r="BN84" i="3"/>
  <c r="CN86" i="3"/>
  <c r="AI86" i="3"/>
  <c r="BC86" i="3" s="1"/>
  <c r="AH86" i="3"/>
  <c r="AJ86" i="3"/>
  <c r="BV86" i="3"/>
  <c r="BW86" i="3"/>
  <c r="BV95" i="3"/>
  <c r="BX95" i="3"/>
  <c r="BE100" i="3"/>
  <c r="AX100" i="3"/>
  <c r="AV99" i="3"/>
  <c r="BS63" i="3"/>
  <c r="BX65" i="3"/>
  <c r="CB66" i="3"/>
  <c r="BZ66" i="3"/>
  <c r="AH67" i="3"/>
  <c r="AP67" i="3"/>
  <c r="AP63" i="3" s="1"/>
  <c r="AX67" i="3"/>
  <c r="AX63" i="3" s="1"/>
  <c r="CQ69" i="3"/>
  <c r="CN69" i="3"/>
  <c r="AI69" i="3"/>
  <c r="AJ70" i="3"/>
  <c r="BV70" i="3"/>
  <c r="BX72" i="3"/>
  <c r="CB72" i="3" s="1"/>
  <c r="BV80" i="3"/>
  <c r="BX80" i="3"/>
  <c r="CQ82" i="3"/>
  <c r="AH82" i="3"/>
  <c r="AJ82" i="3"/>
  <c r="AP101" i="3"/>
  <c r="AN99" i="3"/>
  <c r="CK103" i="3"/>
  <c r="CK101" i="3" s="1"/>
  <c r="BL101" i="3"/>
  <c r="BT103" i="3"/>
  <c r="BN103" i="3"/>
  <c r="CM103" i="3" s="1"/>
  <c r="CP70" i="3"/>
  <c r="CC70" i="3"/>
  <c r="AJ71" i="3"/>
  <c r="BY72" i="3"/>
  <c r="AK73" i="3"/>
  <c r="BB73" i="3"/>
  <c r="CM73" i="3"/>
  <c r="Q75" i="3"/>
  <c r="AG75" i="3"/>
  <c r="AG74" i="3" s="1"/>
  <c r="BS74" i="3"/>
  <c r="CL75" i="3"/>
  <c r="CL74" i="3" s="1"/>
  <c r="AK77" i="3"/>
  <c r="BE77" i="3" s="1"/>
  <c r="BW77" i="3"/>
  <c r="CA77" i="3" s="1"/>
  <c r="BD78" i="3"/>
  <c r="AL78" i="3"/>
  <c r="CC79" i="3"/>
  <c r="AK83" i="3"/>
  <c r="BE83" i="3" s="1"/>
  <c r="BW83" i="3"/>
  <c r="CA83" i="3" s="1"/>
  <c r="BX83" i="3"/>
  <c r="CN85" i="3"/>
  <c r="CO86" i="3"/>
  <c r="R86" i="3"/>
  <c r="CQ86" i="3" s="1"/>
  <c r="BE86" i="3"/>
  <c r="CN87" i="3"/>
  <c r="R87" i="3"/>
  <c r="CQ87" i="3" s="1"/>
  <c r="AL87" i="3"/>
  <c r="CP89" i="3"/>
  <c r="BD90" i="3"/>
  <c r="AL90" i="3"/>
  <c r="CB90" i="3"/>
  <c r="AH95" i="3"/>
  <c r="CQ95" i="3" s="1"/>
  <c r="AJ95" i="3"/>
  <c r="BU96" i="3"/>
  <c r="CL96" i="3"/>
  <c r="BV96" i="3"/>
  <c r="AH97" i="3"/>
  <c r="CO97" i="3"/>
  <c r="AJ97" i="3"/>
  <c r="BV98" i="3"/>
  <c r="BX98" i="3"/>
  <c r="K94" i="3"/>
  <c r="K32" i="3" s="1"/>
  <c r="K131" i="3" s="1"/>
  <c r="O99" i="3"/>
  <c r="BC100" i="3"/>
  <c r="CB102" i="3"/>
  <c r="BZ104" i="3"/>
  <c r="O74" i="3"/>
  <c r="BT75" i="3"/>
  <c r="BJ75" i="3"/>
  <c r="CA75" i="3"/>
  <c r="CO77" i="3"/>
  <c r="R77" i="3"/>
  <c r="CQ77" i="3" s="1"/>
  <c r="CK75" i="3"/>
  <c r="CK74" i="3" s="1"/>
  <c r="CJ75" i="3"/>
  <c r="CJ74" i="3" s="1"/>
  <c r="CP78" i="3"/>
  <c r="BE78" i="3"/>
  <c r="BX78" i="3"/>
  <c r="R79" i="3"/>
  <c r="CQ79" i="3" s="1"/>
  <c r="AJ79" i="3"/>
  <c r="CC81" i="3"/>
  <c r="BW82" i="3"/>
  <c r="CA82" i="3" s="1"/>
  <c r="CM83" i="3"/>
  <c r="CL85" i="3"/>
  <c r="BU85" i="3"/>
  <c r="CP86" i="3"/>
  <c r="BC88" i="3"/>
  <c r="CC90" i="3"/>
  <c r="AI96" i="3"/>
  <c r="AE94" i="3"/>
  <c r="AE32" i="3" s="1"/>
  <c r="CN97" i="3"/>
  <c r="R97" i="3"/>
  <c r="BV97" i="3"/>
  <c r="BX97" i="3"/>
  <c r="BD98" i="3"/>
  <c r="BF98" i="3" s="1"/>
  <c r="AL98" i="3"/>
  <c r="AH100" i="3"/>
  <c r="AJ100" i="3"/>
  <c r="BC102" i="3"/>
  <c r="AI101" i="3"/>
  <c r="AI99" i="3" s="1"/>
  <c r="BC99" i="3" s="1"/>
  <c r="R104" i="3"/>
  <c r="CQ104" i="3" s="1"/>
  <c r="AJ104" i="3"/>
  <c r="CO104" i="3"/>
  <c r="BB108" i="3"/>
  <c r="BX108" i="3"/>
  <c r="AK109" i="3"/>
  <c r="BE109" i="3" s="1"/>
  <c r="AG107" i="3"/>
  <c r="CM109" i="3"/>
  <c r="BV109" i="3"/>
  <c r="BX109" i="3"/>
  <c r="O112" i="3"/>
  <c r="CN112" i="3" s="1"/>
  <c r="AD112" i="3"/>
  <c r="AB107" i="3"/>
  <c r="AD107" i="3" s="1"/>
  <c r="CK113" i="3"/>
  <c r="CK112" i="3" s="1"/>
  <c r="BT113" i="3"/>
  <c r="BN113" i="3"/>
  <c r="CM113" i="3" s="1"/>
  <c r="BL112" i="3"/>
  <c r="N117" i="3"/>
  <c r="P117" i="3"/>
  <c r="AF117" i="3"/>
  <c r="V117" i="3"/>
  <c r="T107" i="3"/>
  <c r="AP119" i="3"/>
  <c r="AZ119" i="3"/>
  <c r="AN107" i="3"/>
  <c r="AP107" i="3" s="1"/>
  <c r="CC77" i="3"/>
  <c r="CN77" i="3"/>
  <c r="AI78" i="3"/>
  <c r="AH78" i="3"/>
  <c r="CQ78" i="3" s="1"/>
  <c r="BW79" i="3"/>
  <c r="AK80" i="3"/>
  <c r="BE80" i="3" s="1"/>
  <c r="R81" i="3"/>
  <c r="CQ81" i="3" s="1"/>
  <c r="CO81" i="3"/>
  <c r="AJ81" i="3"/>
  <c r="AK82" i="3"/>
  <c r="CB82" i="3"/>
  <c r="CN82" i="3"/>
  <c r="AD84" i="3"/>
  <c r="AF84" i="3"/>
  <c r="AB75" i="3"/>
  <c r="AZ84" i="3"/>
  <c r="CM84" i="3"/>
  <c r="BW85" i="3"/>
  <c r="CA85" i="3" s="1"/>
  <c r="BF88" i="3"/>
  <c r="CB89" i="3"/>
  <c r="CD89" i="3" s="1"/>
  <c r="BZ89" i="3"/>
  <c r="CA95" i="3"/>
  <c r="CN96" i="3"/>
  <c r="O94" i="3"/>
  <c r="BR100" i="3"/>
  <c r="BP99" i="3"/>
  <c r="BR99" i="3" s="1"/>
  <c r="BA105" i="3"/>
  <c r="CP105" i="3" s="1"/>
  <c r="AW101" i="3"/>
  <c r="AW99" i="3" s="1"/>
  <c r="AW94" i="3" s="1"/>
  <c r="AW32" i="3" s="1"/>
  <c r="R109" i="3"/>
  <c r="CO109" i="3"/>
  <c r="CC109" i="3"/>
  <c r="BD110" i="3"/>
  <c r="BF110" i="3" s="1"/>
  <c r="AL110" i="3"/>
  <c r="R111" i="3"/>
  <c r="CQ111" i="3" s="1"/>
  <c r="CO111" i="3"/>
  <c r="J112" i="3"/>
  <c r="H107" i="3"/>
  <c r="J107" i="3" s="1"/>
  <c r="R113" i="3"/>
  <c r="AF113" i="3"/>
  <c r="CO113" i="3" s="1"/>
  <c r="Z113" i="3"/>
  <c r="X112" i="3"/>
  <c r="BB124" i="3"/>
  <c r="CO124" i="3"/>
  <c r="CK55" i="3"/>
  <c r="BT64" i="3"/>
  <c r="BU67" i="3"/>
  <c r="BY67" i="3" s="1"/>
  <c r="CC67" i="3" s="1"/>
  <c r="BX76" i="3"/>
  <c r="BY78" i="3"/>
  <c r="CC78" i="3" s="1"/>
  <c r="CP79" i="3"/>
  <c r="AI79" i="3"/>
  <c r="BC79" i="3" s="1"/>
  <c r="BY80" i="3"/>
  <c r="CC80" i="3" s="1"/>
  <c r="AI81" i="3"/>
  <c r="BV81" i="3"/>
  <c r="CN83" i="3"/>
  <c r="CP84" i="3"/>
  <c r="CC84" i="3"/>
  <c r="R85" i="3"/>
  <c r="CQ85" i="3" s="1"/>
  <c r="CO85" i="3"/>
  <c r="BY86" i="3"/>
  <c r="CC86" i="3" s="1"/>
  <c r="CM88" i="3"/>
  <c r="CO88" i="3"/>
  <c r="AI90" i="3"/>
  <c r="BC90" i="3" s="1"/>
  <c r="AL92" i="3"/>
  <c r="CK96" i="3"/>
  <c r="BJ96" i="3"/>
  <c r="BR96" i="3"/>
  <c r="BU97" i="3"/>
  <c r="BY97" i="3" s="1"/>
  <c r="CC97" i="3" s="1"/>
  <c r="F99" i="3"/>
  <c r="X99" i="3"/>
  <c r="Z100" i="3"/>
  <c r="CP100" i="3"/>
  <c r="BY100" i="3"/>
  <c r="CC100" i="3" s="1"/>
  <c r="J101" i="3"/>
  <c r="H99" i="3"/>
  <c r="M94" i="3"/>
  <c r="Q99" i="3"/>
  <c r="BR101" i="3"/>
  <c r="CQ102" i="3"/>
  <c r="BE102" i="3"/>
  <c r="BW102" i="3"/>
  <c r="BS101" i="3"/>
  <c r="CL101" i="3"/>
  <c r="P103" i="3"/>
  <c r="BA101" i="3"/>
  <c r="BA99" i="3" s="1"/>
  <c r="BY99" i="3" s="1"/>
  <c r="CA104" i="3"/>
  <c r="CP106" i="3"/>
  <c r="AK106" i="3"/>
  <c r="BE106" i="3" s="1"/>
  <c r="BE108" i="3"/>
  <c r="BV111" i="3"/>
  <c r="BX111" i="3"/>
  <c r="CP116" i="3"/>
  <c r="BV117" i="3"/>
  <c r="BX117" i="3"/>
  <c r="Q118" i="3"/>
  <c r="I107" i="3"/>
  <c r="Q107" i="3" s="1"/>
  <c r="R118" i="3"/>
  <c r="CO118" i="3"/>
  <c r="BV121" i="3"/>
  <c r="BX121" i="3"/>
  <c r="BU64" i="3"/>
  <c r="AI72" i="3"/>
  <c r="AH76" i="3"/>
  <c r="AJ77" i="3"/>
  <c r="R80" i="3"/>
  <c r="CQ80" i="3" s="1"/>
  <c r="CO80" i="3"/>
  <c r="R83" i="3"/>
  <c r="CQ83" i="3" s="1"/>
  <c r="CO83" i="3"/>
  <c r="CP85" i="3"/>
  <c r="AI85" i="3"/>
  <c r="BC85" i="3" s="1"/>
  <c r="AJ85" i="3"/>
  <c r="CN88" i="3"/>
  <c r="R88" i="3"/>
  <c r="CC88" i="3"/>
  <c r="CM90" i="3"/>
  <c r="CO90" i="3"/>
  <c r="R91" i="3"/>
  <c r="AJ93" i="3"/>
  <c r="AL93" i="3" s="1"/>
  <c r="I94" i="3"/>
  <c r="I32" i="3" s="1"/>
  <c r="AS94" i="3"/>
  <c r="AS32" i="3" s="1"/>
  <c r="AS132" i="3" s="1"/>
  <c r="AS141" i="3" s="1"/>
  <c r="AI97" i="3"/>
  <c r="CQ98" i="3"/>
  <c r="CA98" i="3"/>
  <c r="AA94" i="3"/>
  <c r="AA32" i="3" s="1"/>
  <c r="AA131" i="3" s="1"/>
  <c r="CJ99" i="3"/>
  <c r="CJ94" i="3" s="1"/>
  <c r="BG94" i="3"/>
  <c r="BS99" i="3"/>
  <c r="BW99" i="3" s="1"/>
  <c r="R100" i="3"/>
  <c r="CO100" i="3"/>
  <c r="AT100" i="3"/>
  <c r="AR99" i="3"/>
  <c r="F101" i="3"/>
  <c r="CN101" i="3"/>
  <c r="BD102" i="3"/>
  <c r="AL102" i="3"/>
  <c r="CM101" i="3"/>
  <c r="BV102" i="3"/>
  <c r="CN102" i="3"/>
  <c r="CP103" i="3"/>
  <c r="Q101" i="3"/>
  <c r="CN103" i="3"/>
  <c r="AI103" i="3"/>
  <c r="BC103" i="3" s="1"/>
  <c r="CN104" i="3"/>
  <c r="AK104" i="3"/>
  <c r="BE104" i="3" s="1"/>
  <c r="AG101" i="3"/>
  <c r="AG99" i="3" s="1"/>
  <c r="R106" i="3"/>
  <c r="CQ106" i="3" s="1"/>
  <c r="CO106" i="3"/>
  <c r="BV106" i="3"/>
  <c r="BX106" i="3"/>
  <c r="BJ107" i="3"/>
  <c r="BY108" i="3"/>
  <c r="BV110" i="3"/>
  <c r="BX110" i="3"/>
  <c r="AH115" i="3"/>
  <c r="AJ115" i="3"/>
  <c r="R116" i="3"/>
  <c r="CM116" i="3"/>
  <c r="BU116" i="3"/>
  <c r="BY116" i="3" s="1"/>
  <c r="CC116" i="3" s="1"/>
  <c r="BQ107" i="3"/>
  <c r="BQ94" i="3" s="1"/>
  <c r="BQ32" i="3" s="1"/>
  <c r="BQ131" i="3" s="1"/>
  <c r="BQ139" i="3" s="1"/>
  <c r="BZ129" i="3"/>
  <c r="CB86" i="3"/>
  <c r="BB88" i="3"/>
  <c r="BW88" i="3"/>
  <c r="CN89" i="3"/>
  <c r="AJ89" i="3"/>
  <c r="BB90" i="3"/>
  <c r="BW90" i="3"/>
  <c r="R92" i="3"/>
  <c r="BY95" i="3"/>
  <c r="AZ96" i="3"/>
  <c r="CO96" i="3" s="1"/>
  <c r="AP96" i="3"/>
  <c r="BB97" i="3"/>
  <c r="L99" i="3"/>
  <c r="AB99" i="3"/>
  <c r="AZ100" i="3"/>
  <c r="AX101" i="3"/>
  <c r="CO102" i="3"/>
  <c r="AF103" i="3"/>
  <c r="V103" i="3"/>
  <c r="AK103" i="3"/>
  <c r="BE103" i="3" s="1"/>
  <c r="BY103" i="3"/>
  <c r="CP104" i="3"/>
  <c r="AI104" i="3"/>
  <c r="BC104" i="3" s="1"/>
  <c r="BY104" i="3"/>
  <c r="CC104" i="3" s="1"/>
  <c r="CN106" i="3"/>
  <c r="CO108" i="3"/>
  <c r="R108" i="3"/>
  <c r="CN109" i="3"/>
  <c r="BB109" i="3"/>
  <c r="F112" i="3"/>
  <c r="D107" i="3"/>
  <c r="F107" i="3" s="1"/>
  <c r="AX112" i="3"/>
  <c r="AK112" i="3"/>
  <c r="BE112" i="3" s="1"/>
  <c r="BM112" i="3"/>
  <c r="BM107" i="3" s="1"/>
  <c r="BM94" i="3" s="1"/>
  <c r="BM32" i="3" s="1"/>
  <c r="BU113" i="3"/>
  <c r="BY113" i="3" s="1"/>
  <c r="CC113" i="3" s="1"/>
  <c r="CC112" i="3" s="1"/>
  <c r="CL113" i="3"/>
  <c r="CL112" i="3" s="1"/>
  <c r="CL107" i="3" s="1"/>
  <c r="AH114" i="3"/>
  <c r="AJ114" i="3"/>
  <c r="BX114" i="3"/>
  <c r="CN115" i="3"/>
  <c r="R115" i="3"/>
  <c r="AI115" i="3"/>
  <c r="BC115" i="3" s="1"/>
  <c r="BE115" i="3"/>
  <c r="BY115" i="3"/>
  <c r="CC115" i="3" s="1"/>
  <c r="BN116" i="3"/>
  <c r="CK116" i="3"/>
  <c r="CK107" i="3" s="1"/>
  <c r="BB120" i="3"/>
  <c r="CO120" i="3"/>
  <c r="R122" i="3"/>
  <c r="CQ122" i="3" s="1"/>
  <c r="CO122" i="3"/>
  <c r="AK89" i="3"/>
  <c r="BE89" i="3" s="1"/>
  <c r="AI91" i="3"/>
  <c r="CA93" i="3"/>
  <c r="CO95" i="3"/>
  <c r="Q96" i="3"/>
  <c r="AG96" i="3"/>
  <c r="AK96" i="3" s="1"/>
  <c r="BE96" i="3" s="1"/>
  <c r="Y94" i="3"/>
  <c r="AO94" i="3"/>
  <c r="BA96" i="3"/>
  <c r="BA94" i="3" s="1"/>
  <c r="CM97" i="3"/>
  <c r="AJ106" i="3"/>
  <c r="AY107" i="3"/>
  <c r="AJ109" i="3"/>
  <c r="CN110" i="3"/>
  <c r="AH110" i="3"/>
  <c r="CQ110" i="3" s="1"/>
  <c r="CA110" i="3"/>
  <c r="CC110" i="3"/>
  <c r="BR112" i="3"/>
  <c r="BP107" i="3"/>
  <c r="BR107" i="3" s="1"/>
  <c r="AT113" i="3"/>
  <c r="AR112" i="3"/>
  <c r="CN114" i="3"/>
  <c r="R114" i="3"/>
  <c r="CQ114" i="3" s="1"/>
  <c r="AI114" i="3"/>
  <c r="BC114" i="3" s="1"/>
  <c r="BE114" i="3"/>
  <c r="BY114" i="3"/>
  <c r="CC114" i="3" s="1"/>
  <c r="CO115" i="3"/>
  <c r="BX115" i="3"/>
  <c r="BB115" i="3"/>
  <c r="CN121" i="3"/>
  <c r="BW121" i="3"/>
  <c r="AK122" i="3"/>
  <c r="BE122" i="3" s="1"/>
  <c r="CA122" i="3"/>
  <c r="BV122" i="3"/>
  <c r="BX122" i="3"/>
  <c r="AI108" i="3"/>
  <c r="CN108" i="3"/>
  <c r="CP111" i="3"/>
  <c r="CC111" i="3"/>
  <c r="BA112" i="3"/>
  <c r="BA107" i="3" s="1"/>
  <c r="BY117" i="3"/>
  <c r="CC117" i="3" s="1"/>
  <c r="AJ118" i="3"/>
  <c r="BW118" i="3"/>
  <c r="CA118" i="3" s="1"/>
  <c r="CO119" i="3"/>
  <c r="BD120" i="3"/>
  <c r="BF120" i="3" s="1"/>
  <c r="BB121" i="3"/>
  <c r="CC122" i="3"/>
  <c r="AK123" i="3"/>
  <c r="BE123" i="3" s="1"/>
  <c r="CC123" i="3"/>
  <c r="AK127" i="3"/>
  <c r="BE127" i="3" s="1"/>
  <c r="CN128" i="3"/>
  <c r="BB128" i="3"/>
  <c r="BZ128" i="3"/>
  <c r="CB128" i="3"/>
  <c r="CD128" i="3" s="1"/>
  <c r="CO130" i="3"/>
  <c r="R130" i="3"/>
  <c r="CQ130" i="3" s="1"/>
  <c r="BT77" i="3"/>
  <c r="AI106" i="3"/>
  <c r="AJ108" i="3"/>
  <c r="CM108" i="3"/>
  <c r="BV108" i="3"/>
  <c r="AI109" i="3"/>
  <c r="BC109" i="3" s="1"/>
  <c r="CP110" i="3"/>
  <c r="AJ111" i="3"/>
  <c r="L112" i="3"/>
  <c r="V112" i="3"/>
  <c r="AP112" i="3"/>
  <c r="BJ112" i="3"/>
  <c r="CP112" i="3"/>
  <c r="CA114" i="3"/>
  <c r="AJ116" i="3"/>
  <c r="CN117" i="3"/>
  <c r="BB118" i="3"/>
  <c r="BT118" i="3"/>
  <c r="CA119" i="3"/>
  <c r="AK120" i="3"/>
  <c r="BE120" i="3" s="1"/>
  <c r="CM120" i="3"/>
  <c r="BV120" i="3"/>
  <c r="BX120" i="3"/>
  <c r="AH121" i="3"/>
  <c r="BF123" i="3"/>
  <c r="AL123" i="3"/>
  <c r="AL124" i="3"/>
  <c r="BD124" i="3"/>
  <c r="BF124" i="3" s="1"/>
  <c r="AK126" i="3"/>
  <c r="BE126" i="3" s="1"/>
  <c r="BV126" i="3"/>
  <c r="BX126" i="3"/>
  <c r="CC127" i="3"/>
  <c r="BZ130" i="3"/>
  <c r="AI113" i="3"/>
  <c r="BW116" i="3"/>
  <c r="CA116" i="3" s="1"/>
  <c r="BX119" i="3"/>
  <c r="CQ120" i="3"/>
  <c r="AI120" i="3"/>
  <c r="BC120" i="3" s="1"/>
  <c r="P121" i="3"/>
  <c r="AJ121" i="3" s="1"/>
  <c r="CC121" i="3"/>
  <c r="AJ122" i="3"/>
  <c r="CM123" i="3"/>
  <c r="BX123" i="3"/>
  <c r="BV123" i="3"/>
  <c r="BW124" i="3"/>
  <c r="CA124" i="3" s="1"/>
  <c r="AK125" i="3"/>
  <c r="CM125" i="3"/>
  <c r="CQ125" i="3" s="1"/>
  <c r="BV125" i="3"/>
  <c r="BX125" i="3"/>
  <c r="BF127" i="3"/>
  <c r="AL127" i="3"/>
  <c r="R129" i="3"/>
  <c r="CO129" i="3"/>
  <c r="BV129" i="3"/>
  <c r="AK130" i="3"/>
  <c r="BE130" i="3" s="1"/>
  <c r="BW132" i="3"/>
  <c r="CA132" i="3" s="1"/>
  <c r="CM115" i="3"/>
  <c r="BV115" i="3"/>
  <c r="CN118" i="3"/>
  <c r="AI118" i="3"/>
  <c r="BC118" i="3" s="1"/>
  <c r="CM118" i="3"/>
  <c r="CN119" i="3"/>
  <c r="AL120" i="3"/>
  <c r="BW120" i="3"/>
  <c r="CA120" i="3" s="1"/>
  <c r="AI121" i="3"/>
  <c r="BC121" i="3" s="1"/>
  <c r="CO123" i="3"/>
  <c r="R123" i="3"/>
  <c r="CQ123" i="3" s="1"/>
  <c r="BV124" i="3"/>
  <c r="BX124" i="3"/>
  <c r="CP125" i="3"/>
  <c r="R126" i="3"/>
  <c r="CQ126" i="3" s="1"/>
  <c r="CO126" i="3"/>
  <c r="AH124" i="3"/>
  <c r="CQ124" i="3" s="1"/>
  <c r="AJ126" i="3"/>
  <c r="BX127" i="3"/>
  <c r="CQ128" i="3"/>
  <c r="BV128" i="3"/>
  <c r="CP129" i="3"/>
  <c r="BB129" i="3"/>
  <c r="CC129" i="3"/>
  <c r="CN129" i="3"/>
  <c r="AJ130" i="3"/>
  <c r="CN123" i="3"/>
  <c r="BW123" i="3"/>
  <c r="CA123" i="3" s="1"/>
  <c r="AL125" i="3"/>
  <c r="BW125" i="3"/>
  <c r="CA125" i="3" s="1"/>
  <c r="CQ127" i="3"/>
  <c r="CP128" i="3"/>
  <c r="CC128" i="3"/>
  <c r="AJ129" i="3"/>
  <c r="BE134" i="3"/>
  <c r="CB113" i="4" l="1"/>
  <c r="CD114" i="4"/>
  <c r="CK75" i="4"/>
  <c r="CK34" i="4" s="1"/>
  <c r="CK33" i="4" s="1"/>
  <c r="CK132" i="4" s="1"/>
  <c r="BT92" i="4"/>
  <c r="BJ92" i="4"/>
  <c r="CK91" i="4"/>
  <c r="BT91" i="4"/>
  <c r="BJ91" i="4"/>
  <c r="CM91" i="4" s="1"/>
  <c r="BE91" i="4"/>
  <c r="AL28" i="4"/>
  <c r="CD27" i="4"/>
  <c r="CC24" i="4"/>
  <c r="BF79" i="4"/>
  <c r="Q34" i="4"/>
  <c r="BT100" i="4"/>
  <c r="BT95" i="4" s="1"/>
  <c r="BV95" i="4" s="1"/>
  <c r="CQ104" i="4"/>
  <c r="CM40" i="4"/>
  <c r="CM75" i="4"/>
  <c r="BT93" i="4"/>
  <c r="BJ93" i="4"/>
  <c r="AT91" i="4"/>
  <c r="AZ91" i="4"/>
  <c r="CM11" i="4"/>
  <c r="BF28" i="4"/>
  <c r="CD70" i="4"/>
  <c r="AG33" i="4"/>
  <c r="AG133" i="4" s="1"/>
  <c r="AG142" i="4" s="1"/>
  <c r="CC100" i="4"/>
  <c r="CC95" i="4" s="1"/>
  <c r="CD122" i="4"/>
  <c r="CA28" i="4"/>
  <c r="CD28" i="4" s="1"/>
  <c r="BY91" i="4"/>
  <c r="CC91" i="4" s="1"/>
  <c r="BR100" i="4"/>
  <c r="BP95" i="4"/>
  <c r="BR95" i="4" s="1"/>
  <c r="CB28" i="4"/>
  <c r="BY49" i="4"/>
  <c r="CC49" i="4" s="1"/>
  <c r="CQ56" i="4"/>
  <c r="CO76" i="4"/>
  <c r="BF86" i="4"/>
  <c r="CB52" i="4"/>
  <c r="CD52" i="4" s="1"/>
  <c r="CD61" i="4"/>
  <c r="CA64" i="4"/>
  <c r="CD126" i="4"/>
  <c r="CA40" i="4"/>
  <c r="AC133" i="4"/>
  <c r="AC142" i="4" s="1"/>
  <c r="Q95" i="4"/>
  <c r="AE33" i="4"/>
  <c r="BY75" i="4"/>
  <c r="CC76" i="4"/>
  <c r="CC75" i="4" s="1"/>
  <c r="CD84" i="4"/>
  <c r="CA34" i="4"/>
  <c r="CQ52" i="4"/>
  <c r="CM34" i="4"/>
  <c r="CD54" i="4"/>
  <c r="CP40" i="4"/>
  <c r="Q2" i="4"/>
  <c r="AI95" i="4"/>
  <c r="BC95" i="4" s="1"/>
  <c r="E133" i="4"/>
  <c r="E142" i="4" s="1"/>
  <c r="AE132" i="4"/>
  <c r="M133" i="4"/>
  <c r="M142" i="4" s="1"/>
  <c r="BW34" i="4"/>
  <c r="BW33" i="4" s="1"/>
  <c r="BW132" i="4" s="1"/>
  <c r="CL33" i="4"/>
  <c r="CL132" i="4" s="1"/>
  <c r="CN10" i="4"/>
  <c r="CM10" i="4"/>
  <c r="BE100" i="4"/>
  <c r="AK95" i="4"/>
  <c r="BE95" i="4" s="1"/>
  <c r="BC11" i="4"/>
  <c r="BC10" i="4" s="1"/>
  <c r="BF12" i="4"/>
  <c r="BD22" i="4"/>
  <c r="AL22" i="4"/>
  <c r="AI10" i="4"/>
  <c r="BA34" i="4"/>
  <c r="BA33" i="4" s="1"/>
  <c r="AO33" i="4"/>
  <c r="BF65" i="4"/>
  <c r="BY64" i="4"/>
  <c r="CC65" i="4"/>
  <c r="CC64" i="4" s="1"/>
  <c r="CB20" i="4"/>
  <c r="CD20" i="4" s="1"/>
  <c r="BZ20" i="4"/>
  <c r="CB15" i="4"/>
  <c r="CD15" i="4" s="1"/>
  <c r="BZ15" i="4"/>
  <c r="BB24" i="4"/>
  <c r="CQ24" i="4" s="1"/>
  <c r="CO24" i="4"/>
  <c r="R49" i="4"/>
  <c r="CO49" i="4"/>
  <c r="CB51" i="4"/>
  <c r="CD51" i="4" s="1"/>
  <c r="BZ51" i="4"/>
  <c r="CB16" i="4"/>
  <c r="CD16" i="4" s="1"/>
  <c r="BZ16" i="4"/>
  <c r="AX33" i="4"/>
  <c r="AX132" i="4" s="1"/>
  <c r="AV132" i="4"/>
  <c r="CB68" i="4"/>
  <c r="CD68" i="4" s="1"/>
  <c r="BZ68" i="4"/>
  <c r="BV64" i="4"/>
  <c r="AL24" i="4"/>
  <c r="CC18" i="4"/>
  <c r="BY11" i="4"/>
  <c r="BY10" i="4" s="1"/>
  <c r="CC20" i="4"/>
  <c r="BZ46" i="4"/>
  <c r="BF55" i="4"/>
  <c r="BF52" i="4" s="1"/>
  <c r="BD52" i="4"/>
  <c r="BB23" i="4"/>
  <c r="CQ23" i="4" s="1"/>
  <c r="CO23" i="4"/>
  <c r="BX23" i="4"/>
  <c r="CB23" i="4" s="1"/>
  <c r="CD23" i="4" s="1"/>
  <c r="J40" i="4"/>
  <c r="P40" i="4"/>
  <c r="AI40" i="4"/>
  <c r="CQ20" i="4"/>
  <c r="BY34" i="4"/>
  <c r="CC35" i="4"/>
  <c r="BZ56" i="4"/>
  <c r="CB56" i="4"/>
  <c r="CD56" i="4" s="1"/>
  <c r="BT40" i="4"/>
  <c r="BJ40" i="4"/>
  <c r="BH34" i="4"/>
  <c r="BD35" i="4"/>
  <c r="AL35" i="4"/>
  <c r="CD47" i="4"/>
  <c r="CN40" i="4"/>
  <c r="Z108" i="4"/>
  <c r="X95" i="4"/>
  <c r="Z95" i="4" s="1"/>
  <c r="BZ97" i="4"/>
  <c r="CB97" i="4"/>
  <c r="CD97" i="4" s="1"/>
  <c r="I132" i="4"/>
  <c r="I133" i="4"/>
  <c r="I142" i="4" s="1"/>
  <c r="BS33" i="4"/>
  <c r="BS132" i="4" s="1"/>
  <c r="BK132" i="4"/>
  <c r="CC38" i="4"/>
  <c r="CO64" i="4"/>
  <c r="BZ86" i="4"/>
  <c r="CB86" i="4"/>
  <c r="CD86" i="4" s="1"/>
  <c r="CO102" i="4"/>
  <c r="R102" i="4"/>
  <c r="CQ102" i="4" s="1"/>
  <c r="BY113" i="4"/>
  <c r="BY108" i="4" s="1"/>
  <c r="BY95" i="4" s="1"/>
  <c r="BU108" i="4"/>
  <c r="BU95" i="4" s="1"/>
  <c r="BU33" i="4" s="1"/>
  <c r="BU133" i="4" s="1"/>
  <c r="BU142" i="4" s="1"/>
  <c r="CB25" i="4"/>
  <c r="BZ25" i="4"/>
  <c r="BX11" i="4"/>
  <c r="BD38" i="4"/>
  <c r="BF38" i="4" s="1"/>
  <c r="AL38" i="4"/>
  <c r="BZ38" i="4"/>
  <c r="CB38" i="4"/>
  <c r="CD38" i="4" s="1"/>
  <c r="BZ14" i="4"/>
  <c r="CB14" i="4"/>
  <c r="CD14" i="4" s="1"/>
  <c r="CQ18" i="4"/>
  <c r="R11" i="4"/>
  <c r="CP24" i="4"/>
  <c r="BE49" i="4"/>
  <c r="CP95" i="4"/>
  <c r="AK11" i="4"/>
  <c r="AK10" i="4" s="1"/>
  <c r="BD23" i="4"/>
  <c r="BF23" i="4" s="1"/>
  <c r="AH11" i="4"/>
  <c r="AH10" i="4" s="1"/>
  <c r="BV24" i="4"/>
  <c r="BV10" i="4" s="1"/>
  <c r="BX24" i="4"/>
  <c r="BZ24" i="4" s="1"/>
  <c r="BZ76" i="4"/>
  <c r="BX75" i="4"/>
  <c r="BZ75" i="4" s="1"/>
  <c r="AL56" i="4"/>
  <c r="BD56" i="4"/>
  <c r="BF56" i="4" s="1"/>
  <c r="BD71" i="4"/>
  <c r="BF71" i="4" s="1"/>
  <c r="AL71" i="4"/>
  <c r="CB71" i="4"/>
  <c r="CD71" i="4" s="1"/>
  <c r="BL95" i="4"/>
  <c r="BN95" i="4" s="1"/>
  <c r="BN100" i="4"/>
  <c r="BZ119" i="4"/>
  <c r="CB119" i="4"/>
  <c r="CD119" i="4" s="1"/>
  <c r="CA131" i="4"/>
  <c r="CD131" i="4" s="1"/>
  <c r="BZ131" i="4"/>
  <c r="AH113" i="4"/>
  <c r="CQ113" i="4" s="1"/>
  <c r="AF108" i="4"/>
  <c r="BB76" i="4"/>
  <c r="AZ75" i="4"/>
  <c r="BB75" i="4" s="1"/>
  <c r="L95" i="4"/>
  <c r="P100" i="4"/>
  <c r="N100" i="4"/>
  <c r="CB101" i="4"/>
  <c r="CD101" i="4" s="1"/>
  <c r="BZ101" i="4"/>
  <c r="CP11" i="4"/>
  <c r="Q10" i="4"/>
  <c r="AN33" i="4"/>
  <c r="AP34" i="4"/>
  <c r="CB50" i="4"/>
  <c r="CD50" i="4" s="1"/>
  <c r="BZ50" i="4"/>
  <c r="AH49" i="4"/>
  <c r="AJ49" i="4"/>
  <c r="AF40" i="4"/>
  <c r="AH40" i="4" s="1"/>
  <c r="BF17" i="4"/>
  <c r="BE54" i="4"/>
  <c r="BE52" i="4" s="1"/>
  <c r="CC54" i="4"/>
  <c r="CC52" i="4" s="1"/>
  <c r="CC40" i="4" s="1"/>
  <c r="AK52" i="4"/>
  <c r="AK40" i="4" s="1"/>
  <c r="CB35" i="4"/>
  <c r="CD35" i="4" s="1"/>
  <c r="BZ35" i="4"/>
  <c r="AD40" i="4"/>
  <c r="AB34" i="4"/>
  <c r="CO11" i="4"/>
  <c r="P10" i="4"/>
  <c r="BZ65" i="4"/>
  <c r="BX64" i="4"/>
  <c r="CB65" i="4"/>
  <c r="CP49" i="4"/>
  <c r="BE11" i="4"/>
  <c r="BE10" i="4" s="1"/>
  <c r="AK75" i="4"/>
  <c r="BE76" i="4"/>
  <c r="BE75" i="4" s="1"/>
  <c r="CB36" i="4"/>
  <c r="CD36" i="4" s="1"/>
  <c r="BZ36" i="4"/>
  <c r="CQ76" i="4"/>
  <c r="AW142" i="4"/>
  <c r="BI133" i="4"/>
  <c r="BM7" i="4" s="1"/>
  <c r="BZ85" i="4"/>
  <c r="CB85" i="4"/>
  <c r="CD85" i="4" s="1"/>
  <c r="CM100" i="4"/>
  <c r="CM95" i="4" s="1"/>
  <c r="BB108" i="4"/>
  <c r="BX108" i="4"/>
  <c r="BZ108" i="4" s="1"/>
  <c r="AL76" i="4"/>
  <c r="AJ75" i="4"/>
  <c r="AL75" i="4" s="1"/>
  <c r="BD76" i="4"/>
  <c r="BD114" i="4"/>
  <c r="BF114" i="4" s="1"/>
  <c r="AL114" i="4"/>
  <c r="AJ113" i="4"/>
  <c r="AL104" i="4"/>
  <c r="BD104" i="4"/>
  <c r="AJ102" i="4"/>
  <c r="CB104" i="4"/>
  <c r="CD104" i="4" s="1"/>
  <c r="BZ104" i="4"/>
  <c r="BX102" i="4"/>
  <c r="BZ102" i="4" s="1"/>
  <c r="AL64" i="4"/>
  <c r="AT40" i="4"/>
  <c r="AR34" i="4"/>
  <c r="BN34" i="4"/>
  <c r="AL36" i="4"/>
  <c r="BD36" i="4"/>
  <c r="BF36" i="4" s="1"/>
  <c r="AL2" i="4"/>
  <c r="AL18" i="4"/>
  <c r="AL11" i="4" s="1"/>
  <c r="AL10" i="4" s="1"/>
  <c r="AJ11" i="4"/>
  <c r="AJ10" i="4" s="1"/>
  <c r="BD18" i="4"/>
  <c r="BF18" i="4" s="1"/>
  <c r="BF11" i="4" s="1"/>
  <c r="CB18" i="4"/>
  <c r="BD24" i="4"/>
  <c r="BF24" i="4" s="1"/>
  <c r="AQ2" i="4"/>
  <c r="AM132" i="4"/>
  <c r="F40" i="4"/>
  <c r="BZ19" i="4"/>
  <c r="BZ11" i="4" s="1"/>
  <c r="CB19" i="4"/>
  <c r="CD19" i="4" s="1"/>
  <c r="AZ10" i="4"/>
  <c r="BP34" i="4"/>
  <c r="BV49" i="4"/>
  <c r="BX49" i="4"/>
  <c r="CP52" i="4"/>
  <c r="BB64" i="4"/>
  <c r="CQ64" i="4" s="1"/>
  <c r="K33" i="4"/>
  <c r="K132" i="4" s="1"/>
  <c r="O132" i="4" s="1"/>
  <c r="O34" i="4"/>
  <c r="R75" i="4"/>
  <c r="CQ75" i="4" s="1"/>
  <c r="Q33" i="4"/>
  <c r="T95" i="4"/>
  <c r="T33" i="4" s="1"/>
  <c r="T132" i="4" s="1"/>
  <c r="V100" i="4"/>
  <c r="V95" i="4" s="1"/>
  <c r="V33" i="4" s="1"/>
  <c r="X33" i="4"/>
  <c r="Z34" i="4"/>
  <c r="BZ78" i="4"/>
  <c r="CB78" i="4"/>
  <c r="AL97" i="4"/>
  <c r="BD97" i="4"/>
  <c r="BF97" i="4" s="1"/>
  <c r="CC134" i="3"/>
  <c r="CL9" i="3"/>
  <c r="AL121" i="3"/>
  <c r="BD121" i="3"/>
  <c r="BF121" i="3" s="1"/>
  <c r="BD129" i="3"/>
  <c r="BF129" i="3" s="1"/>
  <c r="AL129" i="3"/>
  <c r="BD130" i="3"/>
  <c r="BF130" i="3" s="1"/>
  <c r="AL130" i="3"/>
  <c r="BD126" i="3"/>
  <c r="BF126" i="3" s="1"/>
  <c r="AL126" i="3"/>
  <c r="BZ124" i="3"/>
  <c r="CB124" i="3"/>
  <c r="CD124" i="3" s="1"/>
  <c r="BZ125" i="3"/>
  <c r="CB125" i="3"/>
  <c r="CD125" i="3" s="1"/>
  <c r="BD122" i="3"/>
  <c r="BF122" i="3" s="1"/>
  <c r="AL122" i="3"/>
  <c r="BV118" i="3"/>
  <c r="BX118" i="3"/>
  <c r="BD116" i="3"/>
  <c r="BF116" i="3" s="1"/>
  <c r="AL116" i="3"/>
  <c r="CB116" i="3"/>
  <c r="CD116" i="3" s="1"/>
  <c r="BB113" i="3"/>
  <c r="AZ112" i="3"/>
  <c r="BC108" i="3"/>
  <c r="BC91" i="3"/>
  <c r="AL91" i="3"/>
  <c r="AL114" i="3"/>
  <c r="BD114" i="3"/>
  <c r="BF114" i="3" s="1"/>
  <c r="CO116" i="3"/>
  <c r="AT99" i="3"/>
  <c r="I132" i="3"/>
  <c r="I141" i="3" s="1"/>
  <c r="I131" i="3"/>
  <c r="BD85" i="3"/>
  <c r="BF85" i="3" s="1"/>
  <c r="AL85" i="3"/>
  <c r="CB85" i="3"/>
  <c r="CD85" i="3" s="1"/>
  <c r="CP118" i="3"/>
  <c r="AK118" i="3"/>
  <c r="CQ129" i="3"/>
  <c r="CB119" i="3"/>
  <c r="CD119" i="3" s="1"/>
  <c r="BZ119" i="3"/>
  <c r="BC106" i="3"/>
  <c r="CA106" i="3"/>
  <c r="AL118" i="3"/>
  <c r="BD118" i="3"/>
  <c r="BF118" i="3" s="1"/>
  <c r="BZ122" i="3"/>
  <c r="CB122" i="3"/>
  <c r="CD122" i="3" s="1"/>
  <c r="CA121" i="3"/>
  <c r="BZ115" i="3"/>
  <c r="CB115" i="3"/>
  <c r="BD109" i="3"/>
  <c r="BF109" i="3" s="1"/>
  <c r="AL109" i="3"/>
  <c r="CP96" i="3"/>
  <c r="CQ115" i="3"/>
  <c r="CQ108" i="3"/>
  <c r="BB100" i="3"/>
  <c r="AZ99" i="3"/>
  <c r="BB99" i="3" s="1"/>
  <c r="AG94" i="3"/>
  <c r="BD89" i="3"/>
  <c r="BF89" i="3" s="1"/>
  <c r="AL89" i="3"/>
  <c r="AL115" i="3"/>
  <c r="BD115" i="3"/>
  <c r="BF115" i="3" s="1"/>
  <c r="BF102" i="3"/>
  <c r="BS94" i="3"/>
  <c r="BG32" i="3"/>
  <c r="BC72" i="3"/>
  <c r="CA72" i="3"/>
  <c r="AL72" i="3"/>
  <c r="BZ117" i="3"/>
  <c r="BU112" i="3"/>
  <c r="CA102" i="3"/>
  <c r="BW101" i="3"/>
  <c r="Z99" i="3"/>
  <c r="BP94" i="3"/>
  <c r="BC81" i="3"/>
  <c r="CA81" i="3"/>
  <c r="Z112" i="3"/>
  <c r="X107" i="3"/>
  <c r="Z107" i="3" s="1"/>
  <c r="CA109" i="3"/>
  <c r="AD75" i="3"/>
  <c r="AB74" i="3"/>
  <c r="AD74" i="3" s="1"/>
  <c r="AH74" i="3" s="1"/>
  <c r="AF75" i="3"/>
  <c r="CD82" i="3"/>
  <c r="BC78" i="3"/>
  <c r="CA78" i="3"/>
  <c r="BB119" i="3"/>
  <c r="CQ119" i="3" s="1"/>
  <c r="BD119" i="3"/>
  <c r="BF119" i="3" s="1"/>
  <c r="BN112" i="3"/>
  <c r="BT112" i="3"/>
  <c r="BL107" i="3"/>
  <c r="BZ108" i="3"/>
  <c r="CB108" i="3"/>
  <c r="CC106" i="3"/>
  <c r="BC96" i="3"/>
  <c r="CA96" i="3"/>
  <c r="BY85" i="3"/>
  <c r="CC85" i="3" s="1"/>
  <c r="BU74" i="3"/>
  <c r="BX96" i="3"/>
  <c r="AP99" i="3"/>
  <c r="AN94" i="3"/>
  <c r="AP94" i="3" s="1"/>
  <c r="BD82" i="3"/>
  <c r="BF82" i="3" s="1"/>
  <c r="AL82" i="3"/>
  <c r="BC69" i="3"/>
  <c r="BF69" i="3" s="1"/>
  <c r="AL69" i="3"/>
  <c r="CB65" i="3"/>
  <c r="BZ65" i="3"/>
  <c r="BZ86" i="3"/>
  <c r="CA86" i="3"/>
  <c r="CD86" i="3" s="1"/>
  <c r="BN75" i="3"/>
  <c r="BL74" i="3"/>
  <c r="CM63" i="3"/>
  <c r="BD68" i="3"/>
  <c r="BF68" i="3" s="1"/>
  <c r="AL68" i="3"/>
  <c r="CB68" i="3"/>
  <c r="CD68" i="3" s="1"/>
  <c r="BC66" i="3"/>
  <c r="CA66" i="3"/>
  <c r="AL66" i="3"/>
  <c r="CO63" i="3"/>
  <c r="Q94" i="3"/>
  <c r="CB61" i="3"/>
  <c r="CD61" i="3" s="1"/>
  <c r="BZ61" i="3"/>
  <c r="BC57" i="3"/>
  <c r="CA57" i="3"/>
  <c r="AL53" i="3"/>
  <c r="BD53" i="3"/>
  <c r="CB53" i="3"/>
  <c r="AJ51" i="3"/>
  <c r="AI10" i="3"/>
  <c r="BC17" i="3"/>
  <c r="CA17" i="3"/>
  <c r="CA10" i="3" s="1"/>
  <c r="AL24" i="3"/>
  <c r="BD24" i="3"/>
  <c r="AJ23" i="3"/>
  <c r="BA10" i="3"/>
  <c r="BA9" i="3" s="1"/>
  <c r="CP18" i="3"/>
  <c r="CQ90" i="3"/>
  <c r="CA53" i="3"/>
  <c r="BZ53" i="3"/>
  <c r="CB123" i="3"/>
  <c r="CD123" i="3" s="1"/>
  <c r="BZ123" i="3"/>
  <c r="BZ126" i="3"/>
  <c r="CB126" i="3"/>
  <c r="CD126" i="3" s="1"/>
  <c r="AY94" i="3"/>
  <c r="AY32" i="3" s="1"/>
  <c r="AY131" i="3" s="1"/>
  <c r="CN107" i="3"/>
  <c r="CC126" i="3"/>
  <c r="AH103" i="3"/>
  <c r="AF101" i="3"/>
  <c r="AJ103" i="3"/>
  <c r="BC97" i="3"/>
  <c r="CA97" i="3"/>
  <c r="CQ88" i="3"/>
  <c r="CQ118" i="3"/>
  <c r="BZ111" i="3"/>
  <c r="CB111" i="3"/>
  <c r="CD111" i="3" s="1"/>
  <c r="R103" i="3"/>
  <c r="CQ103" i="3" s="1"/>
  <c r="CO103" i="3"/>
  <c r="P101" i="3"/>
  <c r="AK101" i="3"/>
  <c r="AK99" i="3" s="1"/>
  <c r="BE99" i="3" s="1"/>
  <c r="CP99" i="3"/>
  <c r="D94" i="3"/>
  <c r="D32" i="3" s="1"/>
  <c r="D131" i="3" s="1"/>
  <c r="CB76" i="3"/>
  <c r="BZ76" i="3"/>
  <c r="AH84" i="3"/>
  <c r="AJ84" i="3"/>
  <c r="CO84" i="3"/>
  <c r="BE82" i="3"/>
  <c r="CC82" i="3"/>
  <c r="AH117" i="3"/>
  <c r="AJ117" i="3"/>
  <c r="CM112" i="3"/>
  <c r="CM107" i="3" s="1"/>
  <c r="CQ97" i="3"/>
  <c r="BD79" i="3"/>
  <c r="BF79" i="3" s="1"/>
  <c r="AL79" i="3"/>
  <c r="CB79" i="3"/>
  <c r="BX75" i="3"/>
  <c r="BV75" i="3"/>
  <c r="BT74" i="3"/>
  <c r="BV74" i="3" s="1"/>
  <c r="BZ83" i="3"/>
  <c r="CB83" i="3"/>
  <c r="CD83" i="3" s="1"/>
  <c r="BD71" i="3"/>
  <c r="BF71" i="3" s="1"/>
  <c r="AL71" i="3"/>
  <c r="BF72" i="3"/>
  <c r="BV100" i="3"/>
  <c r="BX100" i="3"/>
  <c r="CM74" i="3"/>
  <c r="CQ62" i="3"/>
  <c r="AI51" i="3"/>
  <c r="BC52" i="3"/>
  <c r="AL52" i="3"/>
  <c r="BB71" i="3"/>
  <c r="CO71" i="3"/>
  <c r="AI63" i="3"/>
  <c r="BC64" i="3"/>
  <c r="CA64" i="3"/>
  <c r="CB55" i="3"/>
  <c r="CD55" i="3" s="1"/>
  <c r="BZ55" i="3"/>
  <c r="AH49" i="3"/>
  <c r="AJ49" i="3"/>
  <c r="CO49" i="3"/>
  <c r="Z48" i="3"/>
  <c r="X39" i="3"/>
  <c r="AF48" i="3"/>
  <c r="AL47" i="3"/>
  <c r="BD47" i="3"/>
  <c r="BF47" i="3" s="1"/>
  <c r="AG33" i="3"/>
  <c r="AG32" i="3" s="1"/>
  <c r="U32" i="3"/>
  <c r="Q33" i="3"/>
  <c r="E32" i="3"/>
  <c r="CO121" i="3"/>
  <c r="R121" i="3"/>
  <c r="CQ121" i="3" s="1"/>
  <c r="N112" i="3"/>
  <c r="L107" i="3"/>
  <c r="L94" i="3" s="1"/>
  <c r="N94" i="3" s="1"/>
  <c r="P112" i="3"/>
  <c r="BX77" i="3"/>
  <c r="BV77" i="3"/>
  <c r="AD99" i="3"/>
  <c r="AB94" i="3"/>
  <c r="AD94" i="3" s="1"/>
  <c r="CB129" i="3"/>
  <c r="CD129" i="3" s="1"/>
  <c r="CC108" i="3"/>
  <c r="BZ106" i="3"/>
  <c r="CB106" i="3"/>
  <c r="CD106" i="3" s="1"/>
  <c r="BY64" i="3"/>
  <c r="BU63" i="3"/>
  <c r="CC130" i="3"/>
  <c r="BZ127" i="3"/>
  <c r="CB127" i="3"/>
  <c r="CD127" i="3" s="1"/>
  <c r="BE125" i="3"/>
  <c r="CC125" i="3"/>
  <c r="BC113" i="3"/>
  <c r="AI112" i="3"/>
  <c r="BC112" i="3" s="1"/>
  <c r="BZ120" i="3"/>
  <c r="CB120" i="3"/>
  <c r="CD120" i="3" s="1"/>
  <c r="BZ116" i="3"/>
  <c r="BD111" i="3"/>
  <c r="BF111" i="3" s="1"/>
  <c r="AL111" i="3"/>
  <c r="CA115" i="3"/>
  <c r="AL106" i="3"/>
  <c r="BD106" i="3"/>
  <c r="BF106" i="3" s="1"/>
  <c r="CB114" i="3"/>
  <c r="CD114" i="3" s="1"/>
  <c r="BZ114" i="3"/>
  <c r="CA113" i="3"/>
  <c r="CC103" i="3"/>
  <c r="CC101" i="3" s="1"/>
  <c r="BY101" i="3"/>
  <c r="N99" i="3"/>
  <c r="P99" i="3"/>
  <c r="BB96" i="3"/>
  <c r="CA90" i="3"/>
  <c r="BZ90" i="3"/>
  <c r="CA88" i="3"/>
  <c r="CD88" i="3" s="1"/>
  <c r="BZ88" i="3"/>
  <c r="CQ116" i="3"/>
  <c r="BZ110" i="3"/>
  <c r="CB110" i="3"/>
  <c r="CD110" i="3" s="1"/>
  <c r="CA108" i="3"/>
  <c r="CP101" i="3"/>
  <c r="CQ100" i="3"/>
  <c r="BD77" i="3"/>
  <c r="BF77" i="3" s="1"/>
  <c r="AL77" i="3"/>
  <c r="BZ121" i="3"/>
  <c r="CB121" i="3"/>
  <c r="CD121" i="3" s="1"/>
  <c r="CP107" i="3"/>
  <c r="BE101" i="3"/>
  <c r="F94" i="3"/>
  <c r="F32" i="3" s="1"/>
  <c r="F131" i="3" s="1"/>
  <c r="CM96" i="3"/>
  <c r="AJ113" i="3"/>
  <c r="AH113" i="3"/>
  <c r="AF112" i="3"/>
  <c r="CQ109" i="3"/>
  <c r="BD81" i="3"/>
  <c r="BF81" i="3" s="1"/>
  <c r="AL81" i="3"/>
  <c r="CA79" i="3"/>
  <c r="BZ79" i="3"/>
  <c r="R117" i="3"/>
  <c r="CQ117" i="3" s="1"/>
  <c r="CO117" i="3"/>
  <c r="BX113" i="3"/>
  <c r="BV113" i="3"/>
  <c r="BD104" i="3"/>
  <c r="BF104" i="3" s="1"/>
  <c r="AL104" i="3"/>
  <c r="CB104" i="3"/>
  <c r="CD104" i="3" s="1"/>
  <c r="BC101" i="3"/>
  <c r="BW74" i="3"/>
  <c r="CN74" i="3"/>
  <c r="BZ102" i="3"/>
  <c r="CL94" i="3"/>
  <c r="BN101" i="3"/>
  <c r="BL99" i="3"/>
  <c r="CA91" i="3"/>
  <c r="CA103" i="3"/>
  <c r="BZ95" i="3"/>
  <c r="CB95" i="3"/>
  <c r="BD86" i="3"/>
  <c r="BF86" i="3" s="1"/>
  <c r="AL86" i="3"/>
  <c r="BZ82" i="3"/>
  <c r="CQ84" i="3"/>
  <c r="BX71" i="3"/>
  <c r="BE69" i="3"/>
  <c r="CC69" i="3"/>
  <c r="BD65" i="3"/>
  <c r="BD63" i="3" s="1"/>
  <c r="AL65" i="3"/>
  <c r="AJ63" i="3"/>
  <c r="CJ33" i="3"/>
  <c r="CN63" i="3"/>
  <c r="CA69" i="3"/>
  <c r="CD69" i="3" s="1"/>
  <c r="BZ69" i="3"/>
  <c r="R51" i="3"/>
  <c r="CQ52" i="3"/>
  <c r="CM33" i="3"/>
  <c r="BE26" i="3"/>
  <c r="CC26" i="3"/>
  <c r="AG10" i="3"/>
  <c r="CP17" i="3"/>
  <c r="AK17" i="3"/>
  <c r="BE49" i="3"/>
  <c r="AK49" i="3"/>
  <c r="CP49" i="3"/>
  <c r="CC89" i="3"/>
  <c r="BF64" i="3"/>
  <c r="AH51" i="3"/>
  <c r="CB45" i="3"/>
  <c r="CD45" i="3" s="1"/>
  <c r="BZ45" i="3"/>
  <c r="CB130" i="3"/>
  <c r="CD130" i="3" s="1"/>
  <c r="BD108" i="3"/>
  <c r="BF108" i="3" s="1"/>
  <c r="AL108" i="3"/>
  <c r="AT112" i="3"/>
  <c r="AR107" i="3"/>
  <c r="AT107" i="3" s="1"/>
  <c r="CC95" i="3"/>
  <c r="CP113" i="3"/>
  <c r="AK107" i="3"/>
  <c r="BE107" i="3" s="1"/>
  <c r="J99" i="3"/>
  <c r="J94" i="3" s="1"/>
  <c r="H94" i="3"/>
  <c r="BT63" i="3"/>
  <c r="BX64" i="3"/>
  <c r="BV64" i="3"/>
  <c r="BV63" i="3" s="1"/>
  <c r="CC120" i="3"/>
  <c r="CQ113" i="3"/>
  <c r="AW132" i="3"/>
  <c r="AW131" i="3"/>
  <c r="CN94" i="3"/>
  <c r="O32" i="3"/>
  <c r="V107" i="3"/>
  <c r="V94" i="3" s="1"/>
  <c r="T94" i="3"/>
  <c r="T32" i="3" s="1"/>
  <c r="BZ109" i="3"/>
  <c r="CB109" i="3"/>
  <c r="CD109" i="3" s="1"/>
  <c r="BW107" i="3"/>
  <c r="BD100" i="3"/>
  <c r="BF100" i="3" s="1"/>
  <c r="AL100" i="3"/>
  <c r="BZ97" i="3"/>
  <c r="CB97" i="3"/>
  <c r="CD97" i="3" s="1"/>
  <c r="BZ78" i="3"/>
  <c r="CB78" i="3"/>
  <c r="CD78" i="3" s="1"/>
  <c r="CA74" i="3"/>
  <c r="BE73" i="3"/>
  <c r="CC73" i="3"/>
  <c r="BZ85" i="3"/>
  <c r="BZ80" i="3"/>
  <c r="CB80" i="3"/>
  <c r="CD80" i="3" s="1"/>
  <c r="BD70" i="3"/>
  <c r="BF70" i="3" s="1"/>
  <c r="AL70" i="3"/>
  <c r="CB70" i="3"/>
  <c r="CD70" i="3" s="1"/>
  <c r="CQ76" i="3"/>
  <c r="BB67" i="3"/>
  <c r="CQ67" i="3" s="1"/>
  <c r="BX67" i="3"/>
  <c r="CO67" i="3"/>
  <c r="CC83" i="3"/>
  <c r="AK75" i="3"/>
  <c r="BE76" i="3"/>
  <c r="CC76" i="3"/>
  <c r="CC75" i="3" s="1"/>
  <c r="CC74" i="3" s="1"/>
  <c r="Y32" i="3"/>
  <c r="BY74" i="3"/>
  <c r="AL64" i="3"/>
  <c r="AL60" i="3"/>
  <c r="BD60" i="3"/>
  <c r="BF60" i="3" s="1"/>
  <c r="CB60" i="3"/>
  <c r="CD60" i="3" s="1"/>
  <c r="BC54" i="3"/>
  <c r="CA54" i="3"/>
  <c r="AJ50" i="3"/>
  <c r="AH50" i="3"/>
  <c r="AZ48" i="3"/>
  <c r="BB48" i="3" s="1"/>
  <c r="AP48" i="3"/>
  <c r="AN39" i="3"/>
  <c r="J48" i="3"/>
  <c r="H39" i="3"/>
  <c r="CM19" i="3"/>
  <c r="BJ10" i="3"/>
  <c r="BJ9" i="3" s="1"/>
  <c r="AZ74" i="3"/>
  <c r="BB74" i="3" s="1"/>
  <c r="BB75" i="3"/>
  <c r="BZ98" i="3"/>
  <c r="CB98" i="3"/>
  <c r="CD98" i="3" s="1"/>
  <c r="BY96" i="3"/>
  <c r="CC96" i="3" s="1"/>
  <c r="BD95" i="3"/>
  <c r="BF95" i="3" s="1"/>
  <c r="AL95" i="3"/>
  <c r="CD90" i="3"/>
  <c r="BF78" i="3"/>
  <c r="BV103" i="3"/>
  <c r="BX103" i="3"/>
  <c r="BT101" i="3"/>
  <c r="BV101" i="3" s="1"/>
  <c r="BD80" i="3"/>
  <c r="BF80" i="3" s="1"/>
  <c r="AL80" i="3"/>
  <c r="AL76" i="3"/>
  <c r="BD76" i="3"/>
  <c r="BF76" i="3" s="1"/>
  <c r="AJ75" i="3"/>
  <c r="BC65" i="3"/>
  <c r="CA65" i="3"/>
  <c r="CB62" i="3"/>
  <c r="CD62" i="3" s="1"/>
  <c r="BZ62" i="3"/>
  <c r="BJ99" i="3"/>
  <c r="BT99" i="3"/>
  <c r="BH94" i="3"/>
  <c r="BJ94" i="3" s="1"/>
  <c r="CK99" i="3"/>
  <c r="CK94" i="3" s="1"/>
  <c r="AH63" i="3"/>
  <c r="CQ64" i="3"/>
  <c r="CA59" i="3"/>
  <c r="CB54" i="3"/>
  <c r="BZ54" i="3"/>
  <c r="AH96" i="3"/>
  <c r="CQ96" i="3" s="1"/>
  <c r="AJ96" i="3"/>
  <c r="AK94" i="3"/>
  <c r="BE94" i="3" s="1"/>
  <c r="BE95" i="3"/>
  <c r="AL59" i="3"/>
  <c r="BD59" i="3"/>
  <c r="BF59" i="3" s="1"/>
  <c r="CB57" i="3"/>
  <c r="CD57" i="3" s="1"/>
  <c r="BZ57" i="3"/>
  <c r="BX35" i="3"/>
  <c r="BV35" i="3"/>
  <c r="AI39" i="3"/>
  <c r="BC39" i="3" s="1"/>
  <c r="BC40" i="3"/>
  <c r="BZ36" i="3"/>
  <c r="CB36" i="3"/>
  <c r="CD36" i="3" s="1"/>
  <c r="O131" i="3"/>
  <c r="CQ55" i="3"/>
  <c r="BY10" i="3"/>
  <c r="BY9" i="3" s="1"/>
  <c r="CC16" i="3"/>
  <c r="AI74" i="3"/>
  <c r="BC75" i="3"/>
  <c r="BC74" i="3" s="1"/>
  <c r="CQ61" i="3"/>
  <c r="AV39" i="3"/>
  <c r="AX48" i="3"/>
  <c r="N48" i="3"/>
  <c r="P48" i="3"/>
  <c r="L39" i="3"/>
  <c r="CC37" i="3"/>
  <c r="M32" i="3"/>
  <c r="BX24" i="3"/>
  <c r="BV24" i="3"/>
  <c r="BX19" i="3"/>
  <c r="BV19" i="3"/>
  <c r="R18" i="3"/>
  <c r="AJ18" i="3"/>
  <c r="CO50" i="3"/>
  <c r="R50" i="3"/>
  <c r="BV23" i="3"/>
  <c r="BZ17" i="3"/>
  <c r="CB17" i="3"/>
  <c r="CD17" i="3" s="1"/>
  <c r="CO68" i="3"/>
  <c r="R68" i="3"/>
  <c r="CQ68" i="3" s="1"/>
  <c r="BD67" i="3"/>
  <c r="BF67" i="3" s="1"/>
  <c r="AL67" i="3"/>
  <c r="BY49" i="3"/>
  <c r="CC49" i="3" s="1"/>
  <c r="AL44" i="3"/>
  <c r="BD44" i="3"/>
  <c r="BF44" i="3" s="1"/>
  <c r="CP24" i="3"/>
  <c r="CP19" i="3"/>
  <c r="AK19" i="3"/>
  <c r="BE19" i="3" s="1"/>
  <c r="CQ71" i="3"/>
  <c r="AL58" i="3"/>
  <c r="BD58" i="3"/>
  <c r="BF58" i="3" s="1"/>
  <c r="BD8" i="3"/>
  <c r="BF8" i="3" s="1"/>
  <c r="AL8" i="3"/>
  <c r="CO35" i="3"/>
  <c r="R35" i="3"/>
  <c r="BC10" i="3"/>
  <c r="CP45" i="3"/>
  <c r="AL41" i="3"/>
  <c r="BD41" i="3"/>
  <c r="BF41" i="3" s="1"/>
  <c r="CO37" i="3"/>
  <c r="CA41" i="3"/>
  <c r="AK30" i="3"/>
  <c r="CP13" i="3"/>
  <c r="AL11" i="3"/>
  <c r="BD11" i="3"/>
  <c r="BF11" i="3" s="1"/>
  <c r="BJ39" i="3"/>
  <c r="BH33" i="3"/>
  <c r="BT39" i="3"/>
  <c r="CP48" i="3"/>
  <c r="BE48" i="3"/>
  <c r="CB44" i="3"/>
  <c r="CD44" i="3" s="1"/>
  <c r="CP37" i="3"/>
  <c r="CP34" i="3"/>
  <c r="P10" i="3"/>
  <c r="BW9" i="3"/>
  <c r="BX15" i="3"/>
  <c r="BV15" i="3"/>
  <c r="BB24" i="3"/>
  <c r="CQ24" i="3" s="1"/>
  <c r="AZ23" i="3"/>
  <c r="BB23" i="3" s="1"/>
  <c r="BB9" i="3" s="1"/>
  <c r="CC17" i="3"/>
  <c r="BV49" i="3"/>
  <c r="BX49" i="3"/>
  <c r="R23" i="3"/>
  <c r="CQ23" i="3" s="1"/>
  <c r="BY18" i="3"/>
  <c r="CC18" i="3" s="1"/>
  <c r="BV14" i="3"/>
  <c r="BX14" i="3"/>
  <c r="BY34" i="3"/>
  <c r="BV22" i="3"/>
  <c r="BX22" i="3"/>
  <c r="CB7" i="3"/>
  <c r="CD7" i="3" s="1"/>
  <c r="BZ7" i="3"/>
  <c r="BB45" i="3"/>
  <c r="AZ39" i="3"/>
  <c r="BB39" i="3" s="1"/>
  <c r="CO34" i="3"/>
  <c r="R34" i="3"/>
  <c r="CQ34" i="3" s="1"/>
  <c r="AK48" i="3"/>
  <c r="AK39" i="3" s="1"/>
  <c r="AG39" i="3"/>
  <c r="BF16" i="3"/>
  <c r="V32" i="3"/>
  <c r="V132" i="3" s="1"/>
  <c r="AL30" i="3"/>
  <c r="BD30" i="3"/>
  <c r="BF30" i="3" s="1"/>
  <c r="CQ14" i="3"/>
  <c r="CC53" i="3"/>
  <c r="CC51" i="3" s="1"/>
  <c r="AL40" i="3"/>
  <c r="CA38" i="3"/>
  <c r="CD42" i="3"/>
  <c r="BE37" i="3"/>
  <c r="BM131" i="3"/>
  <c r="R10" i="3"/>
  <c r="CQ17" i="3"/>
  <c r="CD102" i="3"/>
  <c r="CN99" i="3"/>
  <c r="BD97" i="3"/>
  <c r="BF97" i="3" s="1"/>
  <c r="AL97" i="3"/>
  <c r="BF90" i="3"/>
  <c r="CP75" i="3"/>
  <c r="Q74" i="3"/>
  <c r="CP74" i="3" s="1"/>
  <c r="CC72" i="3"/>
  <c r="CD66" i="3"/>
  <c r="AX99" i="3"/>
  <c r="AV94" i="3"/>
  <c r="AX94" i="3" s="1"/>
  <c r="BV84" i="3"/>
  <c r="BX84" i="3"/>
  <c r="BZ81" i="3"/>
  <c r="CB81" i="3"/>
  <c r="CD81" i="3" s="1"/>
  <c r="BB63" i="3"/>
  <c r="CO75" i="3"/>
  <c r="R75" i="3"/>
  <c r="P74" i="3"/>
  <c r="AK63" i="3"/>
  <c r="BD54" i="3"/>
  <c r="BF54" i="3" s="1"/>
  <c r="AL54" i="3"/>
  <c r="BE52" i="3"/>
  <c r="BE51" i="3" s="1"/>
  <c r="AK51" i="3"/>
  <c r="BU48" i="3"/>
  <c r="BY48" i="3" s="1"/>
  <c r="CC48" i="3" s="1"/>
  <c r="BI39" i="3"/>
  <c r="BX34" i="3"/>
  <c r="BV34" i="3"/>
  <c r="BX16" i="3"/>
  <c r="BV16" i="3"/>
  <c r="BV37" i="3"/>
  <c r="BX37" i="3"/>
  <c r="BZ21" i="3"/>
  <c r="CB21" i="3"/>
  <c r="CD21" i="3" s="1"/>
  <c r="CD73" i="3"/>
  <c r="CD58" i="3"/>
  <c r="BD55" i="3"/>
  <c r="BF55" i="3" s="1"/>
  <c r="AL55" i="3"/>
  <c r="BX50" i="3"/>
  <c r="AD48" i="3"/>
  <c r="AB39" i="3"/>
  <c r="BA33" i="3"/>
  <c r="BA32" i="3" s="1"/>
  <c r="AO32" i="3"/>
  <c r="AK24" i="3"/>
  <c r="AG23" i="3"/>
  <c r="CP23" i="3" s="1"/>
  <c r="AL19" i="3"/>
  <c r="BD19" i="3"/>
  <c r="BF19" i="3" s="1"/>
  <c r="AZ10" i="3"/>
  <c r="AH35" i="3"/>
  <c r="AJ35" i="3"/>
  <c r="AH22" i="3"/>
  <c r="CQ22" i="3" s="1"/>
  <c r="AJ22" i="3"/>
  <c r="BE63" i="3"/>
  <c r="BW63" i="3"/>
  <c r="BW33" i="3" s="1"/>
  <c r="CL33" i="3"/>
  <c r="CL32" i="3" s="1"/>
  <c r="CL131" i="3" s="1"/>
  <c r="CO22" i="3"/>
  <c r="AL61" i="3"/>
  <c r="BD61" i="3"/>
  <c r="BF61" i="3" s="1"/>
  <c r="CB59" i="3"/>
  <c r="CD59" i="3" s="1"/>
  <c r="BZ59" i="3"/>
  <c r="CB52" i="3"/>
  <c r="BZ52" i="3"/>
  <c r="BZ51" i="3" s="1"/>
  <c r="BX51" i="3"/>
  <c r="CP50" i="3"/>
  <c r="BE50" i="3"/>
  <c r="AL45" i="3"/>
  <c r="BD45" i="3"/>
  <c r="BF45" i="3" s="1"/>
  <c r="CQ43" i="3"/>
  <c r="AL12" i="3"/>
  <c r="BD12" i="3"/>
  <c r="BF12" i="3" s="1"/>
  <c r="CQ59" i="3"/>
  <c r="CB46" i="3"/>
  <c r="CD46" i="3" s="1"/>
  <c r="BZ46" i="3"/>
  <c r="CO30" i="3"/>
  <c r="R30" i="3"/>
  <c r="CQ30" i="3" s="1"/>
  <c r="BD26" i="3"/>
  <c r="BF26" i="3" s="1"/>
  <c r="AL26" i="3"/>
  <c r="CQ45" i="3"/>
  <c r="AI33" i="3"/>
  <c r="Q10" i="3"/>
  <c r="AE131" i="3"/>
  <c r="CB8" i="3"/>
  <c r="CD8" i="3" s="1"/>
  <c r="CA11" i="3"/>
  <c r="BF66" i="3"/>
  <c r="BX48" i="3"/>
  <c r="BV48" i="3"/>
  <c r="BF40" i="3"/>
  <c r="BY45" i="3"/>
  <c r="CC45" i="3" s="1"/>
  <c r="CC39" i="3" s="1"/>
  <c r="BF42" i="3"/>
  <c r="CB30" i="3"/>
  <c r="CD30" i="3" s="1"/>
  <c r="CC25" i="3"/>
  <c r="AL17" i="3"/>
  <c r="AJ10" i="3"/>
  <c r="BD17" i="3"/>
  <c r="BF17" i="3" s="1"/>
  <c r="AL37" i="3"/>
  <c r="BD37" i="3"/>
  <c r="BF37" i="3" s="1"/>
  <c r="CD25" i="3"/>
  <c r="CQ19" i="3"/>
  <c r="T131" i="3"/>
  <c r="BZ28" i="3"/>
  <c r="CB28" i="3"/>
  <c r="CD28" i="3" s="1"/>
  <c r="AL13" i="3"/>
  <c r="BD13" i="3"/>
  <c r="BF13" i="3" s="1"/>
  <c r="CK18" i="3"/>
  <c r="CK10" i="3" s="1"/>
  <c r="CK9" i="3" s="1"/>
  <c r="BT18" i="3"/>
  <c r="BR18" i="3"/>
  <c r="AT75" i="3"/>
  <c r="AR74" i="3"/>
  <c r="AL57" i="3"/>
  <c r="BD57" i="3"/>
  <c r="BF57" i="3" s="1"/>
  <c r="CA52" i="3"/>
  <c r="CA51" i="3" s="1"/>
  <c r="BW51" i="3"/>
  <c r="BY50" i="3"/>
  <c r="CC50" i="3" s="1"/>
  <c r="CK39" i="3"/>
  <c r="CK33" i="3" s="1"/>
  <c r="CK32" i="3" s="1"/>
  <c r="BZ31" i="3"/>
  <c r="CB31" i="3"/>
  <c r="CD31" i="3" s="1"/>
  <c r="AL21" i="3"/>
  <c r="BD21" i="3"/>
  <c r="AI23" i="3"/>
  <c r="BC23" i="3" s="1"/>
  <c r="BC24" i="3"/>
  <c r="BZ13" i="3"/>
  <c r="CB13" i="3"/>
  <c r="CD13" i="3" s="1"/>
  <c r="BE45" i="3"/>
  <c r="CD41" i="3"/>
  <c r="CO45" i="3"/>
  <c r="AJ34" i="3"/>
  <c r="CO24" i="3"/>
  <c r="CO19" i="3"/>
  <c r="BE18" i="3"/>
  <c r="CD11" i="3"/>
  <c r="CN9" i="3"/>
  <c r="BV55" i="3"/>
  <c r="CP39" i="3"/>
  <c r="CA40" i="3"/>
  <c r="CA39" i="3" s="1"/>
  <c r="CQ49" i="3"/>
  <c r="AL42" i="3"/>
  <c r="BZ27" i="3"/>
  <c r="P27" i="3"/>
  <c r="AS131" i="3"/>
  <c r="AH9" i="3"/>
  <c r="BU10" i="3"/>
  <c r="BU9" i="3" s="1"/>
  <c r="CB102" i="4" l="1"/>
  <c r="CB100" i="4" s="1"/>
  <c r="BV93" i="4"/>
  <c r="BX93" i="4"/>
  <c r="BV91" i="4"/>
  <c r="BX91" i="4"/>
  <c r="BV100" i="4"/>
  <c r="CB49" i="4"/>
  <c r="CB24" i="4"/>
  <c r="CD24" i="4" s="1"/>
  <c r="CD25" i="4"/>
  <c r="CC11" i="4"/>
  <c r="CC10" i="4" s="1"/>
  <c r="CB108" i="4"/>
  <c r="CD108" i="4" s="1"/>
  <c r="BB91" i="4"/>
  <c r="CQ91" i="4" s="1"/>
  <c r="CO91" i="4"/>
  <c r="BD91" i="4"/>
  <c r="BF91" i="4" s="1"/>
  <c r="BX100" i="4"/>
  <c r="BZ100" i="4" s="1"/>
  <c r="CP34" i="4"/>
  <c r="CC34" i="4"/>
  <c r="CA10" i="4"/>
  <c r="CO75" i="4"/>
  <c r="CD18" i="4"/>
  <c r="CB11" i="4"/>
  <c r="AG132" i="4"/>
  <c r="BX92" i="4"/>
  <c r="BV92" i="4"/>
  <c r="CN132" i="4"/>
  <c r="CB75" i="4"/>
  <c r="BF64" i="4"/>
  <c r="CB64" i="4"/>
  <c r="CD64" i="4" s="1"/>
  <c r="CD65" i="4"/>
  <c r="CM33" i="4"/>
  <c r="CM132" i="4" s="1"/>
  <c r="CD49" i="4"/>
  <c r="CB40" i="4"/>
  <c r="BX95" i="4"/>
  <c r="BZ95" i="4" s="1"/>
  <c r="CP33" i="4"/>
  <c r="BU132" i="4"/>
  <c r="BL33" i="4"/>
  <c r="BN33" i="4" s="1"/>
  <c r="BN132" i="4" s="1"/>
  <c r="V132" i="4"/>
  <c r="V133" i="4"/>
  <c r="BE40" i="4"/>
  <c r="BE34" i="4" s="1"/>
  <c r="AK34" i="4"/>
  <c r="AK33" i="4" s="1"/>
  <c r="BE33" i="4" s="1"/>
  <c r="BE133" i="4" s="1"/>
  <c r="BE142" i="4" s="1"/>
  <c r="Z33" i="4"/>
  <c r="Z132" i="4" s="1"/>
  <c r="X132" i="4"/>
  <c r="X133" i="4"/>
  <c r="AF133" i="4" s="1"/>
  <c r="AJ133" i="4" s="1"/>
  <c r="CB133" i="4" s="1"/>
  <c r="AT34" i="4"/>
  <c r="AR33" i="4"/>
  <c r="AD34" i="4"/>
  <c r="AB33" i="4"/>
  <c r="H33" i="4"/>
  <c r="H132" i="4" s="1"/>
  <c r="J34" i="4"/>
  <c r="J33" i="4" s="1"/>
  <c r="J132" i="4" s="1"/>
  <c r="BF104" i="4"/>
  <c r="BD102" i="4"/>
  <c r="BF102" i="4" s="1"/>
  <c r="BB10" i="4"/>
  <c r="BZ64" i="4"/>
  <c r="AP33" i="4"/>
  <c r="AP132" i="4" s="1"/>
  <c r="AN132" i="4"/>
  <c r="BX40" i="4"/>
  <c r="BV40" i="4"/>
  <c r="BY33" i="4"/>
  <c r="BY133" i="4" s="1"/>
  <c r="BY142" i="4" s="1"/>
  <c r="AO133" i="4"/>
  <c r="AO142" i="4" s="1"/>
  <c r="AO132" i="4"/>
  <c r="CA95" i="4"/>
  <c r="CA33" i="4" s="1"/>
  <c r="CA132" i="4" s="1"/>
  <c r="CD78" i="4"/>
  <c r="BZ49" i="4"/>
  <c r="AL102" i="4"/>
  <c r="AJ100" i="4"/>
  <c r="N95" i="4"/>
  <c r="N33" i="4" s="1"/>
  <c r="N132" i="4" s="1"/>
  <c r="L33" i="4"/>
  <c r="L132" i="4" s="1"/>
  <c r="CQ11" i="4"/>
  <c r="R10" i="4"/>
  <c r="CD113" i="4"/>
  <c r="CC33" i="4"/>
  <c r="BP33" i="4"/>
  <c r="BR34" i="4"/>
  <c r="P34" i="4"/>
  <c r="D33" i="4"/>
  <c r="D132" i="4" s="1"/>
  <c r="F34" i="4"/>
  <c r="CD102" i="4"/>
  <c r="BF76" i="4"/>
  <c r="BD75" i="4"/>
  <c r="BF75" i="4" s="1"/>
  <c r="BI142" i="4"/>
  <c r="BM133" i="4"/>
  <c r="BQ7" i="4" s="1"/>
  <c r="CO10" i="4"/>
  <c r="AL49" i="4"/>
  <c r="BD49" i="4"/>
  <c r="BF49" i="4" s="1"/>
  <c r="AJ40" i="4"/>
  <c r="Q132" i="4"/>
  <c r="CP10" i="4"/>
  <c r="Q133" i="4"/>
  <c r="Q143" i="4" s="1"/>
  <c r="BX10" i="4"/>
  <c r="BF35" i="4"/>
  <c r="BZ23" i="4"/>
  <c r="BZ10" i="4" s="1"/>
  <c r="CQ49" i="4"/>
  <c r="BA133" i="4"/>
  <c r="BA142" i="4" s="1"/>
  <c r="BA132" i="4"/>
  <c r="BF22" i="4"/>
  <c r="BF10" i="4" s="1"/>
  <c r="AJ2" i="4"/>
  <c r="CN34" i="4"/>
  <c r="O33" i="4"/>
  <c r="CN33" i="4" s="1"/>
  <c r="AH108" i="4"/>
  <c r="CQ108" i="4" s="1"/>
  <c r="CO108" i="4"/>
  <c r="AF34" i="4"/>
  <c r="AF95" i="4"/>
  <c r="AH95" i="4" s="1"/>
  <c r="AL113" i="4"/>
  <c r="BD113" i="4"/>
  <c r="BF113" i="4" s="1"/>
  <c r="AJ108" i="4"/>
  <c r="BD11" i="4"/>
  <c r="BD10" i="4" s="1"/>
  <c r="AZ34" i="4"/>
  <c r="CO100" i="4"/>
  <c r="R100" i="4"/>
  <c r="P95" i="4"/>
  <c r="BL132" i="4"/>
  <c r="BT34" i="4"/>
  <c r="BJ34" i="4"/>
  <c r="BH33" i="4"/>
  <c r="BC40" i="4"/>
  <c r="BC34" i="4" s="1"/>
  <c r="AI34" i="4"/>
  <c r="AI33" i="4" s="1"/>
  <c r="BC33" i="4" s="1"/>
  <c r="BC132" i="4" s="1"/>
  <c r="CO40" i="4"/>
  <c r="R40" i="4"/>
  <c r="CQ40" i="4" s="1"/>
  <c r="BY132" i="4"/>
  <c r="BD64" i="4"/>
  <c r="X94" i="3"/>
  <c r="Z94" i="3" s="1"/>
  <c r="CC9" i="3"/>
  <c r="BE39" i="3"/>
  <c r="BE33" i="3"/>
  <c r="AT74" i="3"/>
  <c r="AR33" i="3"/>
  <c r="CO27" i="3"/>
  <c r="R27" i="3"/>
  <c r="CQ27" i="3" s="1"/>
  <c r="AJ27" i="3"/>
  <c r="BV18" i="3"/>
  <c r="BV10" i="3" s="1"/>
  <c r="BV9" i="3" s="1"/>
  <c r="BX18" i="3"/>
  <c r="CP10" i="3"/>
  <c r="Q9" i="3"/>
  <c r="AZ9" i="3"/>
  <c r="BE24" i="3"/>
  <c r="AK23" i="3"/>
  <c r="BE23" i="3" s="1"/>
  <c r="BZ37" i="3"/>
  <c r="CB37" i="3"/>
  <c r="CD37" i="3" s="1"/>
  <c r="BT10" i="3"/>
  <c r="BT9" i="3" s="1"/>
  <c r="BU39" i="3"/>
  <c r="BY39" i="3" s="1"/>
  <c r="BY33" i="3" s="1"/>
  <c r="BI33" i="3"/>
  <c r="CQ75" i="3"/>
  <c r="R9" i="3"/>
  <c r="BZ49" i="3"/>
  <c r="CB49" i="3"/>
  <c r="CD49" i="3" s="1"/>
  <c r="CQ50" i="3"/>
  <c r="CQ18" i="3"/>
  <c r="M131" i="3"/>
  <c r="M132" i="3"/>
  <c r="M141" i="3" s="1"/>
  <c r="CB35" i="3"/>
  <c r="CD35" i="3" s="1"/>
  <c r="BZ35" i="3"/>
  <c r="CD54" i="3"/>
  <c r="BD75" i="3"/>
  <c r="AL75" i="3"/>
  <c r="AJ74" i="3"/>
  <c r="AL74" i="3" s="1"/>
  <c r="AP39" i="3"/>
  <c r="AN33" i="3"/>
  <c r="AL50" i="3"/>
  <c r="BD50" i="3"/>
  <c r="BF50" i="3" s="1"/>
  <c r="Y131" i="3"/>
  <c r="Y132" i="3"/>
  <c r="Y141" i="3" s="1"/>
  <c r="AG9" i="3"/>
  <c r="CC19" i="3"/>
  <c r="BD113" i="3"/>
  <c r="BF113" i="3" s="1"/>
  <c r="AL113" i="3"/>
  <c r="AJ112" i="3"/>
  <c r="R112" i="3"/>
  <c r="CO112" i="3"/>
  <c r="Z39" i="3"/>
  <c r="X33" i="3"/>
  <c r="CA63" i="3"/>
  <c r="CA33" i="3" s="1"/>
  <c r="CA32" i="3" s="1"/>
  <c r="BC51" i="3"/>
  <c r="BF52" i="3"/>
  <c r="BF51" i="3" s="1"/>
  <c r="BZ100" i="3"/>
  <c r="CB100" i="3"/>
  <c r="AL117" i="3"/>
  <c r="BD117" i="3"/>
  <c r="BF117" i="3" s="1"/>
  <c r="CD53" i="3"/>
  <c r="BN74" i="3"/>
  <c r="BL33" i="3"/>
  <c r="CB96" i="3"/>
  <c r="CD96" i="3" s="1"/>
  <c r="BZ96" i="3"/>
  <c r="CB117" i="3"/>
  <c r="CD117" i="3" s="1"/>
  <c r="CK131" i="3"/>
  <c r="BW32" i="3"/>
  <c r="BW131" i="3" s="1"/>
  <c r="AL35" i="3"/>
  <c r="BD35" i="3"/>
  <c r="BF35" i="3" s="1"/>
  <c r="AL1" i="3"/>
  <c r="AO131" i="3"/>
  <c r="AO132" i="3"/>
  <c r="AO141" i="3" s="1"/>
  <c r="BZ50" i="3"/>
  <c r="CB50" i="3"/>
  <c r="CD50" i="3" s="1"/>
  <c r="BZ16" i="3"/>
  <c r="CB84" i="3"/>
  <c r="CD84" i="3" s="1"/>
  <c r="BZ84" i="3"/>
  <c r="CC34" i="3"/>
  <c r="CO10" i="3"/>
  <c r="P9" i="3"/>
  <c r="BV39" i="3"/>
  <c r="BX39" i="3"/>
  <c r="BZ39" i="3" s="1"/>
  <c r="CB19" i="3"/>
  <c r="CD19" i="3" s="1"/>
  <c r="BZ19" i="3"/>
  <c r="BD96" i="3"/>
  <c r="BF96" i="3" s="1"/>
  <c r="AL96" i="3"/>
  <c r="CB71" i="3"/>
  <c r="CD71" i="3" s="1"/>
  <c r="BZ71" i="3"/>
  <c r="N107" i="3"/>
  <c r="P107" i="3"/>
  <c r="P94" i="3" s="1"/>
  <c r="Q1" i="3"/>
  <c r="E132" i="3"/>
  <c r="E141" i="3" s="1"/>
  <c r="E131" i="3"/>
  <c r="BC63" i="3"/>
  <c r="BC33" i="3" s="1"/>
  <c r="AL84" i="3"/>
  <c r="BD84" i="3"/>
  <c r="BF84" i="3" s="1"/>
  <c r="CB75" i="3"/>
  <c r="CD76" i="3"/>
  <c r="R101" i="3"/>
  <c r="CO101" i="3"/>
  <c r="BA131" i="3"/>
  <c r="BA132" i="3"/>
  <c r="BA141" i="3" s="1"/>
  <c r="AI9" i="3"/>
  <c r="BF53" i="3"/>
  <c r="BD51" i="3"/>
  <c r="CD65" i="3"/>
  <c r="BN107" i="3"/>
  <c r="BT107" i="3"/>
  <c r="BT94" i="3" s="1"/>
  <c r="BV94" i="3" s="1"/>
  <c r="AF74" i="3"/>
  <c r="CO74" i="3" s="1"/>
  <c r="AH75" i="3"/>
  <c r="BR94" i="3"/>
  <c r="BP32" i="3"/>
  <c r="CA101" i="3"/>
  <c r="CA99" i="3" s="1"/>
  <c r="CA94" i="3" s="1"/>
  <c r="BS32" i="3"/>
  <c r="BS131" i="3" s="1"/>
  <c r="BG131" i="3"/>
  <c r="AR94" i="3"/>
  <c r="AT94" i="3" s="1"/>
  <c r="AI107" i="3"/>
  <c r="BF10" i="3"/>
  <c r="BZ48" i="3"/>
  <c r="CD52" i="3"/>
  <c r="CD51" i="3" s="1"/>
  <c r="CB51" i="3"/>
  <c r="BZ14" i="3"/>
  <c r="CB14" i="3"/>
  <c r="CD14" i="3" s="1"/>
  <c r="CO23" i="3"/>
  <c r="BJ33" i="3"/>
  <c r="BT33" i="3"/>
  <c r="BH32" i="3"/>
  <c r="BC9" i="3"/>
  <c r="CO18" i="3"/>
  <c r="V131" i="3"/>
  <c r="N39" i="3"/>
  <c r="P39" i="3"/>
  <c r="L33" i="3"/>
  <c r="AX39" i="3"/>
  <c r="AV33" i="3"/>
  <c r="R63" i="3"/>
  <c r="CQ63" i="3" s="1"/>
  <c r="BV99" i="3"/>
  <c r="BX99" i="3"/>
  <c r="CB103" i="3"/>
  <c r="BZ103" i="3"/>
  <c r="BX101" i="3"/>
  <c r="BZ101" i="3" s="1"/>
  <c r="J39" i="3"/>
  <c r="H33" i="3"/>
  <c r="AL63" i="3"/>
  <c r="BZ67" i="3"/>
  <c r="CB67" i="3"/>
  <c r="CD67" i="3" s="1"/>
  <c r="AW141" i="3"/>
  <c r="BI6" i="3"/>
  <c r="BX63" i="3"/>
  <c r="BX33" i="3" s="1"/>
  <c r="CB64" i="3"/>
  <c r="BZ64" i="3"/>
  <c r="AK10" i="3"/>
  <c r="AK9" i="3" s="1"/>
  <c r="BE17" i="3"/>
  <c r="BE10" i="3" s="1"/>
  <c r="BE9" i="3" s="1"/>
  <c r="BF65" i="3"/>
  <c r="BF63" i="3" s="1"/>
  <c r="CB113" i="3"/>
  <c r="BZ113" i="3"/>
  <c r="AH112" i="3"/>
  <c r="AF107" i="3"/>
  <c r="AH107" i="3" s="1"/>
  <c r="R99" i="3"/>
  <c r="CA112" i="3"/>
  <c r="CC64" i="3"/>
  <c r="CC63" i="3" s="1"/>
  <c r="BY63" i="3"/>
  <c r="CC107" i="3"/>
  <c r="CP33" i="3"/>
  <c r="Q32" i="3"/>
  <c r="CP32" i="3" s="1"/>
  <c r="BZ75" i="3"/>
  <c r="BX74" i="3"/>
  <c r="BZ74" i="3" s="1"/>
  <c r="AL103" i="3"/>
  <c r="BD103" i="3"/>
  <c r="AJ101" i="3"/>
  <c r="AL23" i="3"/>
  <c r="BD23" i="3"/>
  <c r="BF23" i="3" s="1"/>
  <c r="CC24" i="3"/>
  <c r="CC23" i="3" s="1"/>
  <c r="BV112" i="3"/>
  <c r="BX112" i="3"/>
  <c r="BZ112" i="3" s="1"/>
  <c r="CC99" i="3"/>
  <c r="CC94" i="3" s="1"/>
  <c r="BW94" i="3"/>
  <c r="CD115" i="3"/>
  <c r="BE118" i="3"/>
  <c r="CC118" i="3"/>
  <c r="BB112" i="3"/>
  <c r="AZ107" i="3"/>
  <c r="BD34" i="3"/>
  <c r="AL34" i="3"/>
  <c r="BF21" i="3"/>
  <c r="BR10" i="3"/>
  <c r="BR9" i="3" s="1"/>
  <c r="CM18" i="3"/>
  <c r="CM10" i="3" s="1"/>
  <c r="CM9" i="3" s="1"/>
  <c r="AJ9" i="3"/>
  <c r="CD40" i="3"/>
  <c r="BD22" i="3"/>
  <c r="BF22" i="3" s="1"/>
  <c r="AL22" i="3"/>
  <c r="AD39" i="3"/>
  <c r="AB33" i="3"/>
  <c r="CB34" i="3"/>
  <c r="BZ34" i="3"/>
  <c r="R74" i="3"/>
  <c r="CQ74" i="3" s="1"/>
  <c r="BZ22" i="3"/>
  <c r="CB22" i="3"/>
  <c r="CD22" i="3" s="1"/>
  <c r="CB15" i="3"/>
  <c r="CD15" i="3" s="1"/>
  <c r="BZ15" i="3"/>
  <c r="BE30" i="3"/>
  <c r="CC30" i="3"/>
  <c r="CQ35" i="3"/>
  <c r="BX23" i="3"/>
  <c r="BZ23" i="3" s="1"/>
  <c r="BD18" i="3"/>
  <c r="BF18" i="3" s="1"/>
  <c r="AL18" i="3"/>
  <c r="AL10" i="3" s="1"/>
  <c r="BZ24" i="3"/>
  <c r="CB24" i="3"/>
  <c r="CO48" i="3"/>
  <c r="R48" i="3"/>
  <c r="CM99" i="3"/>
  <c r="CM94" i="3" s="1"/>
  <c r="CM32" i="3" s="1"/>
  <c r="BE75" i="3"/>
  <c r="BE74" i="3" s="1"/>
  <c r="AK74" i="3"/>
  <c r="AK33" i="3" s="1"/>
  <c r="AK32" i="3" s="1"/>
  <c r="BE32" i="3" s="1"/>
  <c r="CQ51" i="3"/>
  <c r="CJ32" i="3"/>
  <c r="CJ131" i="3" s="1"/>
  <c r="CN131" i="3" s="1"/>
  <c r="CN33" i="3"/>
  <c r="CD95" i="3"/>
  <c r="BN99" i="3"/>
  <c r="BL94" i="3"/>
  <c r="BN94" i="3" s="1"/>
  <c r="CA107" i="3"/>
  <c r="CB77" i="3"/>
  <c r="CD77" i="3" s="1"/>
  <c r="BZ77" i="3"/>
  <c r="U131" i="3"/>
  <c r="U132" i="3"/>
  <c r="U141" i="3" s="1"/>
  <c r="AF39" i="3"/>
  <c r="AH39" i="3" s="1"/>
  <c r="AJ48" i="3"/>
  <c r="AH48" i="3"/>
  <c r="AL49" i="3"/>
  <c r="BD49" i="3"/>
  <c r="BF49" i="3" s="1"/>
  <c r="AL51" i="3"/>
  <c r="CD79" i="3"/>
  <c r="AH101" i="3"/>
  <c r="AF99" i="3"/>
  <c r="CO99" i="3" s="1"/>
  <c r="BF24" i="3"/>
  <c r="CA9" i="3"/>
  <c r="CP94" i="3"/>
  <c r="CD108" i="3"/>
  <c r="BY112" i="3"/>
  <c r="BY107" i="3" s="1"/>
  <c r="BY94" i="3" s="1"/>
  <c r="BU107" i="3"/>
  <c r="BU94" i="3" s="1"/>
  <c r="BZ118" i="3"/>
  <c r="CB118" i="3"/>
  <c r="CD118" i="3" s="1"/>
  <c r="BZ92" i="4" l="1"/>
  <c r="CB92" i="4"/>
  <c r="CD92" i="4" s="1"/>
  <c r="BZ93" i="4"/>
  <c r="CB93" i="4"/>
  <c r="CD93" i="4" s="1"/>
  <c r="CD11" i="4"/>
  <c r="CB10" i="4"/>
  <c r="CD10" i="4" s="1"/>
  <c r="BZ91" i="4"/>
  <c r="CB91" i="4"/>
  <c r="CD91" i="4" s="1"/>
  <c r="CB95" i="4"/>
  <c r="CD95" i="4" s="1"/>
  <c r="CD40" i="4"/>
  <c r="CC132" i="4"/>
  <c r="CF95" i="4"/>
  <c r="CF40" i="4"/>
  <c r="AI132" i="4"/>
  <c r="BE132" i="4"/>
  <c r="BE140" i="4" s="1"/>
  <c r="AK133" i="4"/>
  <c r="AK142" i="4" s="1"/>
  <c r="AK132" i="4"/>
  <c r="AH34" i="4"/>
  <c r="AF33" i="4"/>
  <c r="BJ33" i="4"/>
  <c r="BJ132" i="4" s="1"/>
  <c r="BH132" i="4"/>
  <c r="AZ33" i="4"/>
  <c r="BB34" i="4"/>
  <c r="AL108" i="4"/>
  <c r="BD108" i="4"/>
  <c r="BF108" i="4" s="1"/>
  <c r="R34" i="4"/>
  <c r="F33" i="4"/>
  <c r="F132" i="4" s="1"/>
  <c r="BR33" i="4"/>
  <c r="BR132" i="4" s="1"/>
  <c r="BP132" i="4"/>
  <c r="BD100" i="4"/>
  <c r="BF100" i="4" s="1"/>
  <c r="AL100" i="4"/>
  <c r="AJ95" i="4"/>
  <c r="CD76" i="4"/>
  <c r="CD75" i="4"/>
  <c r="BZ40" i="4"/>
  <c r="BX34" i="4"/>
  <c r="AT33" i="4"/>
  <c r="AT132" i="4" s="1"/>
  <c r="AR132" i="4"/>
  <c r="CD100" i="4"/>
  <c r="CO95" i="4"/>
  <c r="BC2" i="4"/>
  <c r="CP132" i="4"/>
  <c r="BM142" i="4"/>
  <c r="BQ133" i="4"/>
  <c r="BQ142" i="4" s="1"/>
  <c r="CC133" i="4"/>
  <c r="CC142" i="4" s="1"/>
  <c r="BT33" i="4"/>
  <c r="BV34" i="4"/>
  <c r="CQ100" i="4"/>
  <c r="R95" i="4"/>
  <c r="CQ95" i="4" s="1"/>
  <c r="BD40" i="4"/>
  <c r="AL40" i="4"/>
  <c r="AM2" i="4"/>
  <c r="AJ34" i="4"/>
  <c r="CO34" i="4"/>
  <c r="P33" i="4"/>
  <c r="CQ10" i="4"/>
  <c r="AD33" i="4"/>
  <c r="AD132" i="4" s="1"/>
  <c r="AB132" i="4"/>
  <c r="AJ1" i="3"/>
  <c r="BZ33" i="3"/>
  <c r="AL9" i="3"/>
  <c r="BY32" i="3"/>
  <c r="BE131" i="3"/>
  <c r="BE132" i="3"/>
  <c r="BE141" i="3" s="1"/>
  <c r="CO39" i="3"/>
  <c r="R39" i="3"/>
  <c r="CQ39" i="3" s="1"/>
  <c r="BC107" i="3"/>
  <c r="AI94" i="3"/>
  <c r="CB74" i="3"/>
  <c r="CD74" i="3" s="1"/>
  <c r="CD75" i="3"/>
  <c r="CB10" i="3"/>
  <c r="CD16" i="3"/>
  <c r="CB18" i="3"/>
  <c r="CD18" i="3" s="1"/>
  <c r="CD10" i="3" s="1"/>
  <c r="BZ18" i="3"/>
  <c r="BZ10" i="3" s="1"/>
  <c r="BZ9" i="3" s="1"/>
  <c r="BD48" i="3"/>
  <c r="BF48" i="3" s="1"/>
  <c r="AL48" i="3"/>
  <c r="AJ39" i="3"/>
  <c r="CQ48" i="3"/>
  <c r="BB107" i="3"/>
  <c r="AZ94" i="3"/>
  <c r="BB94" i="3" s="1"/>
  <c r="AL101" i="3"/>
  <c r="AJ99" i="3"/>
  <c r="AK131" i="3"/>
  <c r="AK132" i="3"/>
  <c r="AK141" i="3" s="1"/>
  <c r="BI132" i="3"/>
  <c r="BZ99" i="3"/>
  <c r="AX33" i="3"/>
  <c r="AV32" i="3"/>
  <c r="BJ32" i="3"/>
  <c r="BJ131" i="3" s="1"/>
  <c r="BH131" i="3"/>
  <c r="BR32" i="3"/>
  <c r="BP131" i="3"/>
  <c r="BV107" i="3"/>
  <c r="BX107" i="3"/>
  <c r="BZ107" i="3" s="1"/>
  <c r="BN33" i="3"/>
  <c r="BL32" i="3"/>
  <c r="AP33" i="3"/>
  <c r="AZ33" i="3"/>
  <c r="AN32" i="3"/>
  <c r="BU33" i="3"/>
  <c r="BU32" i="3" s="1"/>
  <c r="BI32" i="3"/>
  <c r="BI131" i="3" s="1"/>
  <c r="BI139" i="3" s="1"/>
  <c r="Q131" i="3"/>
  <c r="CP9" i="3"/>
  <c r="Q132" i="3"/>
  <c r="Q142" i="3" s="1"/>
  <c r="AT33" i="3"/>
  <c r="AR32" i="3"/>
  <c r="BZ63" i="3"/>
  <c r="J33" i="3"/>
  <c r="H32" i="3"/>
  <c r="H131" i="3" s="1"/>
  <c r="P33" i="3"/>
  <c r="BV33" i="3"/>
  <c r="BT32" i="3"/>
  <c r="BV32" i="3" s="1"/>
  <c r="BV131" i="3" s="1"/>
  <c r="CB48" i="3"/>
  <c r="CQ101" i="3"/>
  <c r="CC33" i="3"/>
  <c r="CC32" i="3" s="1"/>
  <c r="CC131" i="3" s="1"/>
  <c r="BX10" i="3"/>
  <c r="BX9" i="3" s="1"/>
  <c r="CD100" i="3"/>
  <c r="CQ112" i="3"/>
  <c r="BF75" i="3"/>
  <c r="BD74" i="3"/>
  <c r="BF74" i="3" s="1"/>
  <c r="CQ9" i="3"/>
  <c r="BD27" i="3"/>
  <c r="BF27" i="3" s="1"/>
  <c r="AL27" i="3"/>
  <c r="CB27" i="3"/>
  <c r="CD27" i="3" s="1"/>
  <c r="CA131" i="3"/>
  <c r="AD33" i="3"/>
  <c r="AB32" i="3"/>
  <c r="BF34" i="3"/>
  <c r="BF9" i="3"/>
  <c r="AH99" i="3"/>
  <c r="CQ99" i="3" s="1"/>
  <c r="AF94" i="3"/>
  <c r="AH94" i="3" s="1"/>
  <c r="CM131" i="3"/>
  <c r="BF103" i="3"/>
  <c r="BD101" i="3"/>
  <c r="BF101" i="3" s="1"/>
  <c r="CD113" i="3"/>
  <c r="CB112" i="3"/>
  <c r="CN32" i="3"/>
  <c r="CD24" i="3"/>
  <c r="CD23" i="3"/>
  <c r="CD34" i="3"/>
  <c r="BR131" i="3"/>
  <c r="CB63" i="3"/>
  <c r="CD64" i="3"/>
  <c r="CD63" i="3" s="1"/>
  <c r="CD103" i="3"/>
  <c r="CB101" i="3"/>
  <c r="CD101" i="3" s="1"/>
  <c r="N33" i="3"/>
  <c r="N32" i="3" s="1"/>
  <c r="N131" i="3" s="1"/>
  <c r="L32" i="3"/>
  <c r="L131" i="3" s="1"/>
  <c r="R107" i="3"/>
  <c r="CO107" i="3"/>
  <c r="CO9" i="3"/>
  <c r="BD10" i="3"/>
  <c r="Z33" i="3"/>
  <c r="X32" i="3"/>
  <c r="AF33" i="3"/>
  <c r="AL112" i="3"/>
  <c r="BD112" i="3"/>
  <c r="BF112" i="3" s="1"/>
  <c r="AJ107" i="3"/>
  <c r="AG131" i="3"/>
  <c r="AG132" i="3"/>
  <c r="AG141" i="3" s="1"/>
  <c r="CQ10" i="3"/>
  <c r="BT131" i="3"/>
  <c r="CB34" i="4" l="1"/>
  <c r="CO33" i="4"/>
  <c r="P132" i="4"/>
  <c r="BZ34" i="4"/>
  <c r="BX33" i="4"/>
  <c r="BD95" i="4"/>
  <c r="BF95" i="4" s="1"/>
  <c r="AL95" i="4"/>
  <c r="BB33" i="4"/>
  <c r="BB132" i="4" s="1"/>
  <c r="AZ132" i="4"/>
  <c r="AH33" i="4"/>
  <c r="AH132" i="4" s="1"/>
  <c r="AF132" i="4"/>
  <c r="BF40" i="4"/>
  <c r="BD34" i="4"/>
  <c r="BF34" i="4" s="1"/>
  <c r="BV33" i="4"/>
  <c r="BV132" i="4" s="1"/>
  <c r="BT132" i="4"/>
  <c r="AJ33" i="4"/>
  <c r="AL34" i="4"/>
  <c r="CQ34" i="4"/>
  <c r="R33" i="4"/>
  <c r="CC132" i="3"/>
  <c r="CC141" i="3" s="1"/>
  <c r="BE139" i="3"/>
  <c r="BU131" i="3"/>
  <c r="BU132" i="3"/>
  <c r="BU141" i="3" s="1"/>
  <c r="BN32" i="3"/>
  <c r="BN131" i="3" s="1"/>
  <c r="BL131" i="3"/>
  <c r="BI141" i="3"/>
  <c r="BM6" i="3"/>
  <c r="BM132" i="3" s="1"/>
  <c r="CB9" i="3"/>
  <c r="AL107" i="3"/>
  <c r="BD107" i="3"/>
  <c r="BF107" i="3" s="1"/>
  <c r="Z32" i="3"/>
  <c r="Z131" i="3" s="1"/>
  <c r="X131" i="3"/>
  <c r="X132" i="3"/>
  <c r="AF132" i="3" s="1"/>
  <c r="AJ132" i="3" s="1"/>
  <c r="CB132" i="3" s="1"/>
  <c r="CD112" i="3"/>
  <c r="CB107" i="3"/>
  <c r="CD107" i="3" s="1"/>
  <c r="AD32" i="3"/>
  <c r="AD131" i="3" s="1"/>
  <c r="AB131" i="3"/>
  <c r="CO33" i="3"/>
  <c r="P32" i="3"/>
  <c r="AT32" i="3"/>
  <c r="AT131" i="3" s="1"/>
  <c r="AR131" i="3"/>
  <c r="AP32" i="3"/>
  <c r="AP131" i="3" s="1"/>
  <c r="AN131" i="3"/>
  <c r="AL39" i="3"/>
  <c r="BD39" i="3"/>
  <c r="AM1" i="3"/>
  <c r="AJ33" i="3"/>
  <c r="CD9" i="3"/>
  <c r="BY132" i="3"/>
  <c r="BY141" i="3" s="1"/>
  <c r="BY131" i="3"/>
  <c r="CO94" i="3"/>
  <c r="CD48" i="3"/>
  <c r="CB39" i="3"/>
  <c r="CP131" i="3"/>
  <c r="BB33" i="3"/>
  <c r="AZ32" i="3"/>
  <c r="BX94" i="3"/>
  <c r="BD9" i="3"/>
  <c r="CQ107" i="3"/>
  <c r="R94" i="3"/>
  <c r="CQ94" i="3" s="1"/>
  <c r="CB99" i="3"/>
  <c r="J32" i="3"/>
  <c r="J131" i="3" s="1"/>
  <c r="R33" i="3"/>
  <c r="AL99" i="3"/>
  <c r="BD99" i="3"/>
  <c r="BF99" i="3" s="1"/>
  <c r="AJ94" i="3"/>
  <c r="BC94" i="3"/>
  <c r="AI32" i="3"/>
  <c r="AH33" i="3"/>
  <c r="AF32" i="3"/>
  <c r="AX32" i="3"/>
  <c r="AX131" i="3" s="1"/>
  <c r="AV131" i="3"/>
  <c r="CQ33" i="4" l="1"/>
  <c r="CD34" i="4"/>
  <c r="CB33" i="4"/>
  <c r="BZ33" i="4"/>
  <c r="BZ132" i="4" s="1"/>
  <c r="BX132" i="4"/>
  <c r="CO132" i="4"/>
  <c r="R132" i="4"/>
  <c r="CQ132" i="4" s="1"/>
  <c r="BD33" i="4"/>
  <c r="AL33" i="4"/>
  <c r="AL132" i="4" s="1"/>
  <c r="AJ132" i="4"/>
  <c r="BC32" i="3"/>
  <c r="BC131" i="3" s="1"/>
  <c r="AI131" i="3"/>
  <c r="BZ94" i="3"/>
  <c r="BX32" i="3"/>
  <c r="AH32" i="3"/>
  <c r="AH131" i="3" s="1"/>
  <c r="AF131" i="3"/>
  <c r="AL94" i="3"/>
  <c r="BD94" i="3"/>
  <c r="BF94" i="3" s="1"/>
  <c r="BC1" i="3"/>
  <c r="CD99" i="3"/>
  <c r="CB94" i="3"/>
  <c r="CD94" i="3" s="1"/>
  <c r="AL33" i="3"/>
  <c r="AJ32" i="3"/>
  <c r="CO32" i="3"/>
  <c r="P131" i="3"/>
  <c r="CQ33" i="3"/>
  <c r="R32" i="3"/>
  <c r="BB32" i="3"/>
  <c r="BB131" i="3" s="1"/>
  <c r="AZ131" i="3"/>
  <c r="CD39" i="3"/>
  <c r="CB33" i="3"/>
  <c r="BF39" i="3"/>
  <c r="BD33" i="3"/>
  <c r="BF33" i="3" s="1"/>
  <c r="BM141" i="3"/>
  <c r="BQ6" i="3"/>
  <c r="BQ132" i="3" s="1"/>
  <c r="BQ141" i="3" s="1"/>
  <c r="CD33" i="4" l="1"/>
  <c r="CD132" i="4" s="1"/>
  <c r="CB132" i="4"/>
  <c r="BF33" i="4"/>
  <c r="BF132" i="4" s="1"/>
  <c r="BD132" i="4"/>
  <c r="CO131" i="3"/>
  <c r="R131" i="3"/>
  <c r="CQ131" i="3" s="1"/>
  <c r="CD33" i="3"/>
  <c r="CB32" i="3"/>
  <c r="CQ32" i="3"/>
  <c r="BZ32" i="3"/>
  <c r="BZ131" i="3" s="1"/>
  <c r="BX131" i="3"/>
  <c r="AL32" i="3"/>
  <c r="AL131" i="3" s="1"/>
  <c r="BD32" i="3"/>
  <c r="AJ131" i="3"/>
  <c r="CD32" i="3" l="1"/>
  <c r="CD131" i="3" s="1"/>
  <c r="CB131" i="3"/>
  <c r="BF32" i="3"/>
  <c r="BF131" i="3" s="1"/>
  <c r="BD131" i="3"/>
  <c r="R9" i="4"/>
  <c r="R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S69" authorId="0" shapeId="0" xr:uid="{25E4ED8A-208F-4E35-839F-0F14E470DF36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состояние дома И 36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S68" authorId="0" shapeId="0" xr:uid="{F679D541-C59C-44AB-A812-058CBE6DEDE8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состояние дома И 36</t>
        </r>
      </text>
    </comment>
  </commentList>
</comments>
</file>

<file path=xl/sharedStrings.xml><?xml version="1.0" encoding="utf-8"?>
<sst xmlns="http://schemas.openxmlformats.org/spreadsheetml/2006/main" count="534" uniqueCount="181">
  <si>
    <t>№ п\п</t>
  </si>
  <si>
    <t>наименование статей</t>
  </si>
  <si>
    <t>Январь</t>
  </si>
  <si>
    <t>Февраль</t>
  </si>
  <si>
    <t>Март</t>
  </si>
  <si>
    <t>Апрель</t>
  </si>
  <si>
    <t>Май</t>
  </si>
  <si>
    <t>Июнь</t>
  </si>
  <si>
    <t>2 квартал</t>
  </si>
  <si>
    <t>1 полугодие</t>
  </si>
  <si>
    <t>Июль</t>
  </si>
  <si>
    <t>Август</t>
  </si>
  <si>
    <t>Сентябрь</t>
  </si>
  <si>
    <t>3 квартал</t>
  </si>
  <si>
    <t>9 месяцев</t>
  </si>
  <si>
    <t>октябрь</t>
  </si>
  <si>
    <t>ноябрь</t>
  </si>
  <si>
    <t>4 квартал</t>
  </si>
  <si>
    <t>год</t>
  </si>
  <si>
    <t>план, руб</t>
  </si>
  <si>
    <t>факт, руб</t>
  </si>
  <si>
    <t>Оплачено, руб</t>
  </si>
  <si>
    <t>Отклонение факт - план</t>
  </si>
  <si>
    <t>сальдо на начало периода</t>
  </si>
  <si>
    <t xml:space="preserve">Соц. найм </t>
  </si>
  <si>
    <t>Возмещение б/л за счет ФСС</t>
  </si>
  <si>
    <t>Доходы</t>
  </si>
  <si>
    <t>Содержание и ремонт жилого фонда</t>
  </si>
  <si>
    <t>ОДН на электроэнергию</t>
  </si>
  <si>
    <t>Диагностика газового оборудования</t>
  </si>
  <si>
    <t>ГВС ОДН</t>
  </si>
  <si>
    <t>ХВС ОДН</t>
  </si>
  <si>
    <t>ВО ОДН</t>
  </si>
  <si>
    <t xml:space="preserve"> - МКД 5-ти этажные</t>
  </si>
  <si>
    <t xml:space="preserve"> - МКД 9-ти этажные</t>
  </si>
  <si>
    <t xml:space="preserve"> - МКД коридорного типа общежития</t>
  </si>
  <si>
    <t>Техническое обслуживание нежилого фонда</t>
  </si>
  <si>
    <t>Платные услуги</t>
  </si>
  <si>
    <t>Аренда, в т.ч.</t>
  </si>
  <si>
    <t>Размешение тех. оборудования, антен (Горптус, нет бай нет, ростелеком)</t>
  </si>
  <si>
    <t>ООО Сити Сервис (расклейка обьявлений)</t>
  </si>
  <si>
    <t>Размещение рекл.- иформ. щитов</t>
  </si>
  <si>
    <t>Прочие доходы:</t>
  </si>
  <si>
    <t>Возмещение 4% (Лифтовик 5, ООО Экотранс)</t>
  </si>
  <si>
    <t>РАЦ доставка квитанций</t>
  </si>
  <si>
    <t>Сбербанк (проценты)</t>
  </si>
  <si>
    <t>Расходы</t>
  </si>
  <si>
    <t>Прямые расходы</t>
  </si>
  <si>
    <t>Обслуживание лифтового хоз-ва (содержание, осмотр,освидетельствование)</t>
  </si>
  <si>
    <t>ФОТ рабочих</t>
  </si>
  <si>
    <t>Материалы на содержание и благоустройство ЖФ :</t>
  </si>
  <si>
    <t xml:space="preserve">  - резервный фонд (для аварийного ремонта МКД)</t>
  </si>
  <si>
    <t>Текущий ремонт:</t>
  </si>
  <si>
    <t xml:space="preserve">  - ремонт межпанельных швов </t>
  </si>
  <si>
    <t xml:space="preserve">  - ремонт кровли</t>
  </si>
  <si>
    <t xml:space="preserve"> - своими силами</t>
  </si>
  <si>
    <t xml:space="preserve"> - подрядными органицациями</t>
  </si>
  <si>
    <t xml:space="preserve">  - ремонт кровли балконных козырьков  и входов в подъезд:</t>
  </si>
  <si>
    <t xml:space="preserve">  - косметический ремонт подъездов, в т.ч.:</t>
  </si>
  <si>
    <t xml:space="preserve">  - ремонт внутридомовых инженерных систем:</t>
  </si>
  <si>
    <t xml:space="preserve"> - ремонт электрооборудования</t>
  </si>
  <si>
    <t xml:space="preserve"> - ремонт сантехнического оборудования</t>
  </si>
  <si>
    <t>Ремонт оконных блоков</t>
  </si>
  <si>
    <t xml:space="preserve">   - полная замена блоков</t>
  </si>
  <si>
    <t xml:space="preserve">   - ремонт оконных блоков</t>
  </si>
  <si>
    <t xml:space="preserve">   - остекление </t>
  </si>
  <si>
    <t xml:space="preserve">  - ремонт конструктивных элементов зданий:</t>
  </si>
  <si>
    <t xml:space="preserve"> -дверь металлическая (мусорокамеры)</t>
  </si>
  <si>
    <t xml:space="preserve"> -замена тамбурных  деревянных дверей(замена оф. двери)</t>
  </si>
  <si>
    <t xml:space="preserve"> - замена дверей металлических (входных)</t>
  </si>
  <si>
    <t xml:space="preserve"> -загрузочные клапаны мусоропровода</t>
  </si>
  <si>
    <t xml:space="preserve"> - почтовые ящики</t>
  </si>
  <si>
    <t>замки</t>
  </si>
  <si>
    <t>Услуги сторонних организаций:</t>
  </si>
  <si>
    <t xml:space="preserve">    - услуги стороннего транспорта</t>
  </si>
  <si>
    <t xml:space="preserve">    - дезинсекция и дератизация</t>
  </si>
  <si>
    <t xml:space="preserve">   - страхование отв. 3-х лиц, отв.-ти ЖЭУ и рем. строит орг-ций</t>
  </si>
  <si>
    <t xml:space="preserve">  - поверка приборов учета. Тех.обсл. Узлов учета</t>
  </si>
  <si>
    <t xml:space="preserve">   - экспертиза</t>
  </si>
  <si>
    <t xml:space="preserve">  -  вывоз и захоронение строит отходов (талоны на мусор)</t>
  </si>
  <si>
    <t>Прочие прямые расходы:</t>
  </si>
  <si>
    <t>Охрана труда, в том числе:</t>
  </si>
  <si>
    <t xml:space="preserve">           обучение персонала</t>
  </si>
  <si>
    <t xml:space="preserve">          спец. одежда</t>
  </si>
  <si>
    <t xml:space="preserve">          синтетические моющие средства</t>
  </si>
  <si>
    <t>мед комиссия возврат</t>
  </si>
  <si>
    <t>приобретение типографской продукции по охране труда</t>
  </si>
  <si>
    <t>приобретение средств подмащивания</t>
  </si>
  <si>
    <t>Приобретение средств пожаротушения</t>
  </si>
  <si>
    <t>очистка от наледи и сосулек</t>
  </si>
  <si>
    <t>обл. проф.</t>
  </si>
  <si>
    <t>Утилизация ртутьсодержащих ламп</t>
  </si>
  <si>
    <t>Общеэксплуатационные расходы:</t>
  </si>
  <si>
    <t xml:space="preserve">Отчисление МУП РАЦ </t>
  </si>
  <si>
    <t xml:space="preserve">   - ФОТ  РС и С</t>
  </si>
  <si>
    <t>командировочные</t>
  </si>
  <si>
    <t>Расходы на содержание офиса</t>
  </si>
  <si>
    <t xml:space="preserve"> Арендная плата за помещение и землю (с НДС)</t>
  </si>
  <si>
    <t>Коммунальные услуги:</t>
  </si>
  <si>
    <t xml:space="preserve">   -хол. Вода,водоотведение</t>
  </si>
  <si>
    <t xml:space="preserve">   -отопление, ГВС</t>
  </si>
  <si>
    <t xml:space="preserve">   -электроэнергия </t>
  </si>
  <si>
    <t>Прочие общеэксплуатационные расходы</t>
  </si>
  <si>
    <t>5.1</t>
  </si>
  <si>
    <t>Компенс. за использование личного ав/транспорта</t>
  </si>
  <si>
    <t>5.2</t>
  </si>
  <si>
    <t xml:space="preserve"> Приобретение  орг/техники</t>
  </si>
  <si>
    <t>5.3</t>
  </si>
  <si>
    <t xml:space="preserve"> Проведение инвентаризации жилых домов</t>
  </si>
  <si>
    <t>Аудиторская проверка</t>
  </si>
  <si>
    <t>5.4</t>
  </si>
  <si>
    <t xml:space="preserve"> Програмое обеспечение :</t>
  </si>
  <si>
    <t>консультационная услуга( 1С, консультант)</t>
  </si>
  <si>
    <t xml:space="preserve">  электронная отчетность</t>
  </si>
  <si>
    <t>5.5</t>
  </si>
  <si>
    <t>5.6</t>
  </si>
  <si>
    <t>5.7</t>
  </si>
  <si>
    <t xml:space="preserve"> Канц. товары, заправка картриджей, ремонт принтеров</t>
  </si>
  <si>
    <t>5.8</t>
  </si>
  <si>
    <t xml:space="preserve"> Услуги почты</t>
  </si>
  <si>
    <t>5.9</t>
  </si>
  <si>
    <t xml:space="preserve"> Услуги банка</t>
  </si>
  <si>
    <t>5.10</t>
  </si>
  <si>
    <t xml:space="preserve"> Услуги тел. Связи</t>
  </si>
  <si>
    <t>5.11</t>
  </si>
  <si>
    <t>Интернет</t>
  </si>
  <si>
    <t>Корпоративная связь</t>
  </si>
  <si>
    <t>5.12</t>
  </si>
  <si>
    <t>5.13</t>
  </si>
  <si>
    <t>Лицензирование</t>
  </si>
  <si>
    <t>5.14</t>
  </si>
  <si>
    <t>Больничные за счет работодателя</t>
  </si>
  <si>
    <t>5.15</t>
  </si>
  <si>
    <t>За разнос квитанций</t>
  </si>
  <si>
    <t>5.16</t>
  </si>
  <si>
    <t>Отчет по окружающей среде, негатив.воздействие</t>
  </si>
  <si>
    <t>6</t>
  </si>
  <si>
    <t>Налог по негативному воздействию на окруж.среду</t>
  </si>
  <si>
    <t>7</t>
  </si>
  <si>
    <t>Налог УСНО 1%</t>
  </si>
  <si>
    <t>Финансовый результат</t>
  </si>
  <si>
    <t>Сальдо на конец периода</t>
  </si>
  <si>
    <t>под отчет</t>
  </si>
  <si>
    <t>электроснабжение</t>
  </si>
  <si>
    <t>мат помощь</t>
  </si>
  <si>
    <t>Генеральный директор</t>
  </si>
  <si>
    <t>Экономист</t>
  </si>
  <si>
    <t>УК</t>
  </si>
  <si>
    <t>декабрь</t>
  </si>
  <si>
    <t>2 полугодие</t>
  </si>
  <si>
    <t>Год</t>
  </si>
  <si>
    <t>Содержание и ремонт  лифтового хозяйства</t>
  </si>
  <si>
    <t>Отчисления (30.2%)</t>
  </si>
  <si>
    <t>штукатурка стен фасада дома</t>
  </si>
  <si>
    <t xml:space="preserve">   - установка видеосистемы</t>
  </si>
  <si>
    <t xml:space="preserve">         аптечки</t>
  </si>
  <si>
    <t>Прочее( строит.мусор,займ,подарки)</t>
  </si>
  <si>
    <t>Электроснабжение на ОДН</t>
  </si>
  <si>
    <t xml:space="preserve">   - отчисления (30.2%)</t>
  </si>
  <si>
    <t xml:space="preserve">  -ТКО</t>
  </si>
  <si>
    <t xml:space="preserve">     Установка антивируса, ИТС поддержка, лицензия,создание сайта</t>
  </si>
  <si>
    <t xml:space="preserve">вклад  </t>
  </si>
  <si>
    <t>Размещение инф. Материал СМИ,реклама, шары</t>
  </si>
  <si>
    <t xml:space="preserve"> - ремонт офисного помещения, мебель</t>
  </si>
  <si>
    <t xml:space="preserve">   - работы по проверке вент каналов, ТО ВДПО</t>
  </si>
  <si>
    <t>приобретение воды</t>
  </si>
  <si>
    <t xml:space="preserve">  -установка приборов учета ОДПУ отопление, ремонт</t>
  </si>
  <si>
    <t>Водоотведение ОДН</t>
  </si>
  <si>
    <t>1 квартал 2020</t>
  </si>
  <si>
    <t>Перечисление МУП РАЦ за прошлый месяц</t>
  </si>
  <si>
    <t xml:space="preserve"> Гос. пошлина, штрафы, экспертиза, выплаты по суду</t>
  </si>
  <si>
    <t>в 1с (банк + касса)</t>
  </si>
  <si>
    <t>Подотчет</t>
  </si>
  <si>
    <t>за участие в конкурсе, возмещение затрат по электр-и, возврат покупки</t>
  </si>
  <si>
    <t>Покупка спецтехники</t>
  </si>
  <si>
    <t>за участие в конкурсе, возмещение затрат по электр-и</t>
  </si>
  <si>
    <t xml:space="preserve">Налог УСНО </t>
  </si>
  <si>
    <t>Исполнение сметы доходов и расходов за 2020 год</t>
  </si>
  <si>
    <t>Прочее</t>
  </si>
  <si>
    <t>Электроэнергия на ОДН</t>
  </si>
  <si>
    <t>Экономист                                           И.А.Михалева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</si>
</sst>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\ #,##0.00&quot;    &quot;;\-#,##0.00&quot;    &quot;;&quot; -&quot;#&quot;    &quot;;@\ "/>
    <numFmt numFmtId="166" formatCode="#,##0.0"/>
  </numFmts>
  <fonts count="30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6"/>
      <name val="Arial Narrow"/>
      <family val="2"/>
      <charset val="204"/>
    </font>
    <font>
      <b/>
      <sz val="7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9"/>
      <name val="Times New Roman"/>
      <family val="1"/>
      <charset val="204"/>
    </font>
    <font>
      <sz val="9"/>
      <name val="Arial Narrow"/>
      <family val="2"/>
      <charset val="204"/>
    </font>
    <font>
      <sz val="11"/>
      <name val="Arial Narrow"/>
      <family val="2"/>
      <charset val="204"/>
    </font>
    <font>
      <b/>
      <u/>
      <sz val="14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8"/>
      <name val="Arial Narrow"/>
      <family val="2"/>
      <charset val="204"/>
    </font>
    <font>
      <b/>
      <i/>
      <sz val="11"/>
      <name val="Arial Narrow"/>
      <family val="2"/>
      <charset val="204"/>
    </font>
    <font>
      <sz val="12"/>
      <name val="Arial Narrow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Arial Narrow"/>
      <family val="2"/>
      <charset val="204"/>
    </font>
    <font>
      <sz val="11"/>
      <color indexed="9"/>
      <name val="Arial Narrow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charset val="204"/>
    </font>
    <font>
      <i/>
      <sz val="8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47"/>
      </patternFill>
    </fill>
    <fill>
      <patternFill patternType="solid">
        <fgColor indexed="42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5" fontId="1" fillId="0" borderId="0"/>
  </cellStyleXfs>
  <cellXfs count="231">
    <xf numFmtId="0" fontId="0" fillId="0" borderId="0" xfId="0"/>
    <xf numFmtId="0" fontId="1" fillId="0" borderId="0" xfId="1"/>
    <xf numFmtId="0" fontId="1" fillId="0" borderId="0" xfId="1" applyFont="1" applyFill="1"/>
    <xf numFmtId="4" fontId="1" fillId="0" borderId="0" xfId="1" applyNumberFormat="1"/>
    <xf numFmtId="4" fontId="6" fillId="0" borderId="2" xfId="1" applyNumberFormat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horizontal="center" vertical="center" wrapText="1"/>
    </xf>
    <xf numFmtId="4" fontId="7" fillId="0" borderId="6" xfId="1" applyNumberFormat="1" applyFont="1" applyFill="1" applyBorder="1" applyAlignment="1">
      <alignment horizontal="center" vertical="center" wrapText="1"/>
    </xf>
    <xf numFmtId="4" fontId="7" fillId="0" borderId="3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left" vertical="center" wrapText="1"/>
    </xf>
    <xf numFmtId="4" fontId="8" fillId="0" borderId="4" xfId="1" applyNumberFormat="1" applyFont="1" applyFill="1" applyBorder="1" applyAlignment="1">
      <alignment horizontal="center"/>
    </xf>
    <xf numFmtId="4" fontId="8" fillId="0" borderId="5" xfId="1" applyNumberFormat="1" applyFont="1" applyFill="1" applyBorder="1" applyAlignment="1">
      <alignment horizontal="center"/>
    </xf>
    <xf numFmtId="4" fontId="8" fillId="0" borderId="6" xfId="1" applyNumberFormat="1" applyFont="1" applyFill="1" applyBorder="1" applyAlignment="1">
      <alignment horizontal="center"/>
    </xf>
    <xf numFmtId="4" fontId="6" fillId="0" borderId="5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 wrapText="1"/>
    </xf>
    <xf numFmtId="0" fontId="10" fillId="0" borderId="6" xfId="1" applyFont="1" applyFill="1" applyBorder="1" applyAlignment="1">
      <alignment horizontal="left" vertical="center" wrapText="1"/>
    </xf>
    <xf numFmtId="4" fontId="11" fillId="0" borderId="4" xfId="1" applyNumberFormat="1" applyFont="1" applyFill="1" applyBorder="1" applyAlignment="1">
      <alignment horizontal="center"/>
    </xf>
    <xf numFmtId="4" fontId="11" fillId="0" borderId="5" xfId="1" applyNumberFormat="1" applyFont="1" applyFill="1" applyBorder="1" applyAlignment="1">
      <alignment horizontal="center"/>
    </xf>
    <xf numFmtId="4" fontId="11" fillId="0" borderId="6" xfId="1" applyNumberFormat="1" applyFont="1" applyFill="1" applyBorder="1" applyAlignment="1">
      <alignment horizontal="center"/>
    </xf>
    <xf numFmtId="4" fontId="11" fillId="0" borderId="7" xfId="1" applyNumberFormat="1" applyFont="1" applyFill="1" applyBorder="1" applyAlignment="1">
      <alignment horizontal="center"/>
    </xf>
    <xf numFmtId="0" fontId="6" fillId="0" borderId="6" xfId="1" applyNumberFormat="1" applyFont="1" applyFill="1" applyBorder="1" applyAlignment="1">
      <alignment horizontal="center" wrapText="1"/>
    </xf>
    <xf numFmtId="0" fontId="10" fillId="0" borderId="8" xfId="1" applyFont="1" applyFill="1" applyBorder="1" applyAlignment="1">
      <alignment horizontal="left" vertical="center" wrapText="1"/>
    </xf>
    <xf numFmtId="4" fontId="13" fillId="2" borderId="5" xfId="1" applyNumberFormat="1" applyFont="1" applyFill="1" applyBorder="1" applyAlignment="1">
      <alignment horizontal="center"/>
    </xf>
    <xf numFmtId="0" fontId="13" fillId="0" borderId="6" xfId="1" applyFont="1" applyFill="1" applyBorder="1" applyAlignment="1">
      <alignment horizontal="left" vertical="center" wrapText="1"/>
    </xf>
    <xf numFmtId="4" fontId="13" fillId="0" borderId="4" xfId="1" applyNumberFormat="1" applyFont="1" applyFill="1" applyBorder="1" applyAlignment="1">
      <alignment horizontal="center"/>
    </xf>
    <xf numFmtId="0" fontId="7" fillId="3" borderId="6" xfId="1" applyFont="1" applyFill="1" applyBorder="1" applyAlignment="1">
      <alignment horizontal="left" vertical="center" wrapText="1"/>
    </xf>
    <xf numFmtId="4" fontId="13" fillId="3" borderId="7" xfId="1" applyNumberFormat="1" applyFont="1" applyFill="1" applyBorder="1" applyAlignment="1">
      <alignment horizontal="center"/>
    </xf>
    <xf numFmtId="0" fontId="7" fillId="0" borderId="6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4" fontId="13" fillId="0" borderId="6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7" xfId="1" applyNumberFormat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 vertical="center" wrapText="1"/>
    </xf>
    <xf numFmtId="0" fontId="3" fillId="0" borderId="6" xfId="1" applyNumberFormat="1" applyFont="1" applyFill="1" applyBorder="1" applyAlignment="1">
      <alignment horizontal="center" wrapText="1"/>
    </xf>
    <xf numFmtId="0" fontId="7" fillId="0" borderId="8" xfId="1" applyFont="1" applyFill="1" applyBorder="1" applyAlignment="1">
      <alignment horizontal="left" vertical="center" wrapText="1"/>
    </xf>
    <xf numFmtId="4" fontId="13" fillId="4" borderId="5" xfId="1" applyNumberFormat="1" applyFont="1" applyFill="1" applyBorder="1" applyAlignment="1">
      <alignment horizontal="center"/>
    </xf>
    <xf numFmtId="4" fontId="11" fillId="3" borderId="6" xfId="1" applyNumberFormat="1" applyFont="1" applyFill="1" applyBorder="1" applyAlignment="1">
      <alignment horizontal="center"/>
    </xf>
    <xf numFmtId="0" fontId="8" fillId="0" borderId="6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4" fontId="13" fillId="3" borderId="6" xfId="1" applyNumberFormat="1" applyFont="1" applyFill="1" applyBorder="1" applyAlignment="1">
      <alignment horizontal="center"/>
    </xf>
    <xf numFmtId="4" fontId="11" fillId="3" borderId="7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 wrapText="1"/>
    </xf>
    <xf numFmtId="4" fontId="11" fillId="3" borderId="5" xfId="1" applyNumberFormat="1" applyFont="1" applyFill="1" applyBorder="1" applyAlignment="1">
      <alignment horizontal="center"/>
    </xf>
    <xf numFmtId="4" fontId="11" fillId="3" borderId="4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 wrapText="1"/>
    </xf>
    <xf numFmtId="4" fontId="15" fillId="0" borderId="4" xfId="1" applyNumberFormat="1" applyFont="1" applyFill="1" applyBorder="1" applyAlignment="1">
      <alignment horizontal="center"/>
    </xf>
    <xf numFmtId="0" fontId="6" fillId="0" borderId="8" xfId="1" applyFont="1" applyFill="1" applyBorder="1" applyAlignment="1">
      <alignment horizontal="left" vertical="center" wrapText="1"/>
    </xf>
    <xf numFmtId="0" fontId="16" fillId="0" borderId="6" xfId="1" applyFont="1" applyFill="1" applyBorder="1" applyAlignment="1">
      <alignment horizontal="left" vertical="center" wrapText="1"/>
    </xf>
    <xf numFmtId="49" fontId="3" fillId="0" borderId="5" xfId="1" applyNumberFormat="1" applyFont="1" applyFill="1" applyBorder="1" applyAlignment="1">
      <alignment horizontal="center" wrapText="1"/>
    </xf>
    <xf numFmtId="4" fontId="11" fillId="0" borderId="9" xfId="1" applyNumberFormat="1" applyFont="1" applyFill="1" applyBorder="1"/>
    <xf numFmtId="4" fontId="11" fillId="0" borderId="10" xfId="1" applyNumberFormat="1" applyFont="1" applyFill="1" applyBorder="1"/>
    <xf numFmtId="4" fontId="11" fillId="0" borderId="11" xfId="1" applyNumberFormat="1" applyFont="1" applyFill="1" applyBorder="1"/>
    <xf numFmtId="4" fontId="11" fillId="0" borderId="9" xfId="1" applyNumberFormat="1" applyFont="1" applyFill="1" applyBorder="1" applyAlignment="1">
      <alignment horizontal="center"/>
    </xf>
    <xf numFmtId="4" fontId="11" fillId="0" borderId="10" xfId="1" applyNumberFormat="1" applyFont="1" applyFill="1" applyBorder="1" applyAlignment="1">
      <alignment horizontal="center"/>
    </xf>
    <xf numFmtId="4" fontId="11" fillId="0" borderId="12" xfId="1" applyNumberFormat="1" applyFont="1" applyFill="1" applyBorder="1" applyAlignment="1">
      <alignment horizontal="center"/>
    </xf>
    <xf numFmtId="0" fontId="1" fillId="0" borderId="13" xfId="1" applyBorder="1"/>
    <xf numFmtId="0" fontId="1" fillId="0" borderId="14" xfId="1" applyBorder="1"/>
    <xf numFmtId="0" fontId="4" fillId="0" borderId="5" xfId="1" applyFont="1" applyFill="1" applyBorder="1" applyAlignment="1">
      <alignment horizontal="left" vertical="center" wrapText="1"/>
    </xf>
    <xf numFmtId="0" fontId="1" fillId="0" borderId="5" xfId="1" applyBorder="1"/>
    <xf numFmtId="4" fontId="1" fillId="0" borderId="5" xfId="1" applyNumberFormat="1" applyBorder="1"/>
    <xf numFmtId="0" fontId="1" fillId="0" borderId="9" xfId="1" applyBorder="1"/>
    <xf numFmtId="0" fontId="1" fillId="0" borderId="10" xfId="1" applyBorder="1"/>
    <xf numFmtId="0" fontId="1" fillId="0" borderId="15" xfId="1" applyBorder="1"/>
    <xf numFmtId="4" fontId="1" fillId="0" borderId="6" xfId="1" applyNumberFormat="1" applyBorder="1"/>
    <xf numFmtId="0" fontId="4" fillId="0" borderId="0" xfId="1" applyFont="1" applyFill="1" applyBorder="1" applyAlignment="1">
      <alignment horizontal="left" vertical="center" wrapText="1"/>
    </xf>
    <xf numFmtId="4" fontId="1" fillId="0" borderId="0" xfId="1" applyNumberFormat="1" applyBorder="1"/>
    <xf numFmtId="0" fontId="1" fillId="0" borderId="0" xfId="1" applyBorder="1"/>
    <xf numFmtId="0" fontId="16" fillId="0" borderId="0" xfId="1" applyFont="1" applyFill="1" applyBorder="1" applyAlignment="1">
      <alignment horizontal="left" vertical="center" wrapText="1"/>
    </xf>
    <xf numFmtId="0" fontId="1" fillId="0" borderId="3" xfId="1" applyBorder="1"/>
    <xf numFmtId="4" fontId="13" fillId="0" borderId="4" xfId="1" applyNumberFormat="1" applyFont="1" applyFill="1" applyBorder="1" applyAlignment="1">
      <alignment horizontal="left"/>
    </xf>
    <xf numFmtId="0" fontId="19" fillId="0" borderId="0" xfId="1" applyFont="1"/>
    <xf numFmtId="4" fontId="1" fillId="3" borderId="0" xfId="1" applyNumberFormat="1" applyFill="1"/>
    <xf numFmtId="4" fontId="7" fillId="0" borderId="15" xfId="1" applyNumberFormat="1" applyFont="1" applyFill="1" applyBorder="1" applyAlignment="1">
      <alignment horizontal="center" vertical="center" wrapText="1"/>
    </xf>
    <xf numFmtId="4" fontId="7" fillId="3" borderId="5" xfId="1" applyNumberFormat="1" applyFont="1" applyFill="1" applyBorder="1" applyAlignment="1">
      <alignment horizontal="center" vertical="center" wrapText="1"/>
    </xf>
    <xf numFmtId="4" fontId="7" fillId="0" borderId="7" xfId="1" applyNumberFormat="1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>
      <alignment horizontal="center"/>
    </xf>
    <xf numFmtId="4" fontId="5" fillId="0" borderId="6" xfId="1" applyNumberFormat="1" applyFont="1" applyFill="1" applyBorder="1" applyAlignment="1">
      <alignment horizontal="center"/>
    </xf>
    <xf numFmtId="4" fontId="21" fillId="0" borderId="5" xfId="1" applyNumberFormat="1" applyFont="1" applyFill="1" applyBorder="1" applyAlignment="1">
      <alignment horizontal="center"/>
    </xf>
    <xf numFmtId="4" fontId="9" fillId="0" borderId="6" xfId="1" applyNumberFormat="1" applyFont="1" applyFill="1" applyBorder="1" applyAlignment="1">
      <alignment horizontal="center"/>
    </xf>
    <xf numFmtId="4" fontId="8" fillId="0" borderId="15" xfId="1" applyNumberFormat="1" applyFont="1" applyFill="1" applyBorder="1" applyAlignment="1">
      <alignment horizontal="center"/>
    </xf>
    <xf numFmtId="4" fontId="8" fillId="0" borderId="7" xfId="1" applyNumberFormat="1" applyFont="1" applyFill="1" applyBorder="1" applyAlignment="1">
      <alignment horizontal="center"/>
    </xf>
    <xf numFmtId="4" fontId="1" fillId="0" borderId="3" xfId="1" applyNumberFormat="1" applyBorder="1"/>
    <xf numFmtId="4" fontId="11" fillId="0" borderId="15" xfId="1" applyNumberFormat="1" applyFont="1" applyFill="1" applyBorder="1" applyAlignment="1">
      <alignment horizontal="center"/>
    </xf>
    <xf numFmtId="4" fontId="1" fillId="0" borderId="5" xfId="1" applyNumberFormat="1" applyBorder="1" applyAlignment="1">
      <alignment horizontal="center"/>
    </xf>
    <xf numFmtId="4" fontId="13" fillId="2" borderId="6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4" fontId="18" fillId="2" borderId="3" xfId="1" applyNumberFormat="1" applyFont="1" applyFill="1" applyBorder="1" applyAlignment="1">
      <alignment horizontal="center"/>
    </xf>
    <xf numFmtId="4" fontId="13" fillId="0" borderId="16" xfId="1" applyNumberFormat="1" applyFont="1" applyFill="1" applyBorder="1" applyAlignment="1">
      <alignment horizontal="center"/>
    </xf>
    <xf numFmtId="4" fontId="13" fillId="0" borderId="15" xfId="1" applyNumberFormat="1" applyFont="1" applyFill="1" applyBorder="1" applyAlignment="1">
      <alignment horizontal="center"/>
    </xf>
    <xf numFmtId="4" fontId="13" fillId="3" borderId="4" xfId="1" applyNumberFormat="1" applyFont="1" applyFill="1" applyBorder="1" applyAlignment="1">
      <alignment horizontal="center"/>
    </xf>
    <xf numFmtId="4" fontId="19" fillId="0" borderId="3" xfId="1" applyNumberFormat="1" applyFont="1" applyBorder="1" applyAlignment="1">
      <alignment horizontal="center"/>
    </xf>
    <xf numFmtId="4" fontId="19" fillId="3" borderId="5" xfId="1" applyNumberFormat="1" applyFont="1" applyFill="1" applyBorder="1" applyAlignment="1">
      <alignment horizontal="center"/>
    </xf>
    <xf numFmtId="4" fontId="1" fillId="0" borderId="0" xfId="1" applyNumberFormat="1" applyFont="1"/>
    <xf numFmtId="0" fontId="1" fillId="0" borderId="0" xfId="1" applyFont="1"/>
    <xf numFmtId="4" fontId="13" fillId="3" borderId="5" xfId="1" applyNumberFormat="1" applyFont="1" applyFill="1" applyBorder="1" applyAlignment="1">
      <alignment horizontal="center"/>
    </xf>
    <xf numFmtId="4" fontId="17" fillId="0" borderId="5" xfId="1" applyNumberFormat="1" applyFont="1" applyBorder="1" applyAlignment="1">
      <alignment horizontal="center"/>
    </xf>
    <xf numFmtId="0" fontId="4" fillId="0" borderId="8" xfId="1" applyFont="1" applyFill="1" applyBorder="1" applyAlignment="1">
      <alignment horizontal="left" vertical="center" wrapText="1"/>
    </xf>
    <xf numFmtId="4" fontId="22" fillId="3" borderId="5" xfId="1" applyNumberFormat="1" applyFont="1" applyFill="1" applyBorder="1" applyAlignment="1">
      <alignment horizontal="center"/>
    </xf>
    <xf numFmtId="0" fontId="7" fillId="3" borderId="8" xfId="1" applyFont="1" applyFill="1" applyBorder="1" applyAlignment="1">
      <alignment horizontal="left" vertical="center" wrapText="1"/>
    </xf>
    <xf numFmtId="4" fontId="13" fillId="2" borderId="4" xfId="1" applyNumberFormat="1" applyFont="1" applyFill="1" applyBorder="1" applyAlignment="1">
      <alignment horizontal="center"/>
    </xf>
    <xf numFmtId="4" fontId="11" fillId="2" borderId="6" xfId="1" applyNumberFormat="1" applyFont="1" applyFill="1" applyBorder="1" applyAlignment="1">
      <alignment horizontal="center"/>
    </xf>
    <xf numFmtId="4" fontId="13" fillId="2" borderId="7" xfId="1" applyNumberFormat="1" applyFont="1" applyFill="1" applyBorder="1" applyAlignment="1">
      <alignment horizontal="center"/>
    </xf>
    <xf numFmtId="4" fontId="11" fillId="4" borderId="6" xfId="1" applyNumberFormat="1" applyFont="1" applyFill="1" applyBorder="1" applyAlignment="1">
      <alignment horizontal="center"/>
    </xf>
    <xf numFmtId="4" fontId="11" fillId="4" borderId="5" xfId="1" applyNumberFormat="1" applyFont="1" applyFill="1" applyBorder="1" applyAlignment="1">
      <alignment horizontal="center"/>
    </xf>
    <xf numFmtId="4" fontId="13" fillId="4" borderId="15" xfId="1" applyNumberFormat="1" applyFont="1" applyFill="1" applyBorder="1" applyAlignment="1">
      <alignment horizontal="center"/>
    </xf>
    <xf numFmtId="4" fontId="13" fillId="4" borderId="4" xfId="1" applyNumberFormat="1" applyFont="1" applyFill="1" applyBorder="1" applyAlignment="1">
      <alignment horizontal="center"/>
    </xf>
    <xf numFmtId="4" fontId="13" fillId="4" borderId="6" xfId="1" applyNumberFormat="1" applyFont="1" applyFill="1" applyBorder="1" applyAlignment="1">
      <alignment horizontal="center"/>
    </xf>
    <xf numFmtId="4" fontId="13" fillId="4" borderId="7" xfId="1" applyNumberFormat="1" applyFont="1" applyFill="1" applyBorder="1" applyAlignment="1">
      <alignment horizontal="center"/>
    </xf>
    <xf numFmtId="4" fontId="13" fillId="6" borderId="6" xfId="1" applyNumberFormat="1" applyFont="1" applyFill="1" applyBorder="1" applyAlignment="1">
      <alignment horizontal="center"/>
    </xf>
    <xf numFmtId="4" fontId="13" fillId="6" borderId="5" xfId="1" applyNumberFormat="1" applyFont="1" applyFill="1" applyBorder="1" applyAlignment="1">
      <alignment horizontal="center"/>
    </xf>
    <xf numFmtId="4" fontId="18" fillId="4" borderId="3" xfId="1" applyNumberFormat="1" applyFont="1" applyFill="1" applyBorder="1" applyAlignment="1">
      <alignment horizontal="center"/>
    </xf>
    <xf numFmtId="4" fontId="11" fillId="0" borderId="13" xfId="1" applyNumberFormat="1" applyFont="1" applyFill="1" applyBorder="1" applyAlignment="1">
      <alignment horizontal="center"/>
    </xf>
    <xf numFmtId="4" fontId="11" fillId="0" borderId="14" xfId="1" applyNumberFormat="1" applyFont="1" applyFill="1" applyBorder="1" applyAlignment="1">
      <alignment horizontal="center"/>
    </xf>
    <xf numFmtId="4" fontId="11" fillId="3" borderId="17" xfId="1" applyNumberFormat="1" applyFont="1" applyFill="1" applyBorder="1" applyAlignment="1">
      <alignment horizontal="center"/>
    </xf>
    <xf numFmtId="4" fontId="11" fillId="3" borderId="15" xfId="1" applyNumberFormat="1" applyFont="1" applyFill="1" applyBorder="1" applyAlignment="1">
      <alignment horizontal="center"/>
    </xf>
    <xf numFmtId="4" fontId="11" fillId="3" borderId="0" xfId="1" applyNumberFormat="1" applyFont="1" applyFill="1" applyBorder="1" applyAlignment="1">
      <alignment horizontal="center"/>
    </xf>
    <xf numFmtId="4" fontId="1" fillId="3" borderId="5" xfId="1" applyNumberFormat="1" applyFill="1" applyBorder="1" applyAlignment="1">
      <alignment horizontal="center"/>
    </xf>
    <xf numFmtId="165" fontId="11" fillId="3" borderId="5" xfId="2" applyFont="1" applyFill="1" applyBorder="1" applyAlignment="1" applyProtection="1">
      <alignment horizontal="center"/>
    </xf>
    <xf numFmtId="166" fontId="11" fillId="0" borderId="5" xfId="1" applyNumberFormat="1" applyFont="1" applyFill="1" applyBorder="1" applyAlignment="1">
      <alignment horizontal="center"/>
    </xf>
    <xf numFmtId="3" fontId="11" fillId="0" borderId="5" xfId="1" applyNumberFormat="1" applyFont="1" applyFill="1" applyBorder="1" applyAlignment="1">
      <alignment horizontal="center"/>
    </xf>
    <xf numFmtId="3" fontId="11" fillId="3" borderId="5" xfId="1" applyNumberFormat="1" applyFont="1" applyFill="1" applyBorder="1" applyAlignment="1">
      <alignment horizontal="center"/>
    </xf>
    <xf numFmtId="2" fontId="11" fillId="0" borderId="5" xfId="1" applyNumberFormat="1" applyFont="1" applyFill="1" applyBorder="1" applyAlignment="1">
      <alignment horizontal="center"/>
    </xf>
    <xf numFmtId="0" fontId="14" fillId="3" borderId="6" xfId="1" applyFont="1" applyFill="1" applyBorder="1" applyAlignment="1">
      <alignment horizontal="left" vertical="center" wrapText="1"/>
    </xf>
    <xf numFmtId="4" fontId="1" fillId="0" borderId="5" xfId="1" applyNumberFormat="1" applyFont="1" applyBorder="1" applyAlignment="1">
      <alignment horizontal="center"/>
    </xf>
    <xf numFmtId="3" fontId="11" fillId="0" borderId="5" xfId="1" applyNumberFormat="1" applyFont="1" applyFill="1" applyBorder="1" applyAlignment="1">
      <alignment horizontal="left"/>
    </xf>
    <xf numFmtId="3" fontId="13" fillId="0" borderId="5" xfId="1" applyNumberFormat="1" applyFont="1" applyFill="1" applyBorder="1" applyAlignment="1">
      <alignment horizontal="center"/>
    </xf>
    <xf numFmtId="0" fontId="4" fillId="3" borderId="6" xfId="1" applyFont="1" applyFill="1" applyBorder="1" applyAlignment="1">
      <alignment horizontal="left" vertical="center" wrapText="1"/>
    </xf>
    <xf numFmtId="4" fontId="15" fillId="3" borderId="4" xfId="1" applyNumberFormat="1" applyFont="1" applyFill="1" applyBorder="1" applyAlignment="1">
      <alignment horizontal="center"/>
    </xf>
    <xf numFmtId="4" fontId="15" fillId="0" borderId="16" xfId="1" applyNumberFormat="1" applyFont="1" applyFill="1" applyBorder="1" applyAlignment="1">
      <alignment horizontal="center"/>
    </xf>
    <xf numFmtId="4" fontId="15" fillId="0" borderId="15" xfId="1" applyNumberFormat="1" applyFont="1" applyFill="1" applyBorder="1" applyAlignment="1">
      <alignment horizontal="center"/>
    </xf>
    <xf numFmtId="4" fontId="15" fillId="0" borderId="5" xfId="1" applyNumberFormat="1" applyFont="1" applyFill="1" applyBorder="1" applyAlignment="1">
      <alignment horizontal="center"/>
    </xf>
    <xf numFmtId="4" fontId="15" fillId="3" borderId="5" xfId="1" applyNumberFormat="1" applyFont="1" applyFill="1" applyBorder="1" applyAlignment="1">
      <alignment horizontal="center"/>
    </xf>
    <xf numFmtId="0" fontId="7" fillId="3" borderId="6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horizontal="left" vertical="center" wrapText="1"/>
    </xf>
    <xf numFmtId="4" fontId="11" fillId="0" borderId="4" xfId="1" applyNumberFormat="1" applyFont="1" applyFill="1" applyBorder="1" applyAlignment="1">
      <alignment horizontal="left"/>
    </xf>
    <xf numFmtId="4" fontId="13" fillId="3" borderId="4" xfId="1" applyNumberFormat="1" applyFont="1" applyFill="1" applyBorder="1" applyAlignment="1">
      <alignment horizontal="left"/>
    </xf>
    <xf numFmtId="4" fontId="11" fillId="6" borderId="6" xfId="1" applyNumberFormat="1" applyFont="1" applyFill="1" applyBorder="1" applyAlignment="1">
      <alignment horizontal="center"/>
    </xf>
    <xf numFmtId="4" fontId="17" fillId="6" borderId="5" xfId="1" applyNumberFormat="1" applyFont="1" applyFill="1" applyBorder="1" applyAlignment="1">
      <alignment horizontal="center"/>
    </xf>
    <xf numFmtId="4" fontId="13" fillId="6" borderId="7" xfId="1" applyNumberFormat="1" applyFont="1" applyFill="1" applyBorder="1" applyAlignment="1">
      <alignment horizontal="center"/>
    </xf>
    <xf numFmtId="4" fontId="13" fillId="6" borderId="4" xfId="1" applyNumberFormat="1" applyFont="1" applyFill="1" applyBorder="1" applyAlignment="1">
      <alignment horizontal="center"/>
    </xf>
    <xf numFmtId="4" fontId="18" fillId="5" borderId="3" xfId="1" applyNumberFormat="1" applyFont="1" applyFill="1" applyBorder="1" applyAlignment="1">
      <alignment horizontal="center"/>
    </xf>
    <xf numFmtId="0" fontId="1" fillId="0" borderId="0" xfId="1" applyFill="1"/>
    <xf numFmtId="4" fontId="11" fillId="0" borderId="15" xfId="1" applyNumberFormat="1" applyFont="1" applyFill="1" applyBorder="1" applyAlignment="1">
      <alignment horizontal="left"/>
    </xf>
    <xf numFmtId="4" fontId="11" fillId="3" borderId="4" xfId="1" applyNumberFormat="1" applyFont="1" applyFill="1" applyBorder="1" applyAlignment="1">
      <alignment horizontal="left"/>
    </xf>
    <xf numFmtId="4" fontId="15" fillId="3" borderId="6" xfId="1" applyNumberFormat="1" applyFont="1" applyFill="1" applyBorder="1" applyAlignment="1">
      <alignment horizontal="center"/>
    </xf>
    <xf numFmtId="4" fontId="23" fillId="3" borderId="5" xfId="1" applyNumberFormat="1" applyFont="1" applyFill="1" applyBorder="1" applyAlignment="1">
      <alignment horizontal="center"/>
    </xf>
    <xf numFmtId="4" fontId="11" fillId="0" borderId="5" xfId="1" applyNumberFormat="1" applyFont="1" applyFill="1" applyBorder="1"/>
    <xf numFmtId="4" fontId="11" fillId="0" borderId="18" xfId="1" applyNumberFormat="1" applyFont="1" applyFill="1" applyBorder="1"/>
    <xf numFmtId="4" fontId="11" fillId="0" borderId="11" xfId="1" applyNumberFormat="1" applyFont="1" applyFill="1" applyBorder="1" applyAlignment="1">
      <alignment horizontal="center"/>
    </xf>
    <xf numFmtId="4" fontId="11" fillId="0" borderId="12" xfId="1" applyNumberFormat="1" applyFont="1" applyFill="1" applyBorder="1"/>
    <xf numFmtId="0" fontId="19" fillId="0" borderId="3" xfId="1" applyFont="1" applyBorder="1"/>
    <xf numFmtId="0" fontId="1" fillId="0" borderId="19" xfId="1" applyBorder="1"/>
    <xf numFmtId="0" fontId="1" fillId="0" borderId="17" xfId="1" applyBorder="1"/>
    <xf numFmtId="0" fontId="1" fillId="0" borderId="6" xfId="1" applyBorder="1"/>
    <xf numFmtId="0" fontId="1" fillId="0" borderId="12" xfId="1" applyBorder="1"/>
    <xf numFmtId="4" fontId="13" fillId="3" borderId="0" xfId="1" applyNumberFormat="1" applyFont="1" applyFill="1" applyBorder="1" applyAlignment="1">
      <alignment horizontal="center"/>
    </xf>
    <xf numFmtId="0" fontId="1" fillId="3" borderId="5" xfId="1" applyFill="1" applyBorder="1"/>
    <xf numFmtId="0" fontId="24" fillId="0" borderId="0" xfId="1" applyFont="1" applyFill="1"/>
    <xf numFmtId="4" fontId="19" fillId="3" borderId="0" xfId="1" applyNumberFormat="1" applyFont="1" applyFill="1" applyBorder="1"/>
    <xf numFmtId="2" fontId="1" fillId="3" borderId="0" xfId="1" applyNumberFormat="1" applyFill="1"/>
    <xf numFmtId="0" fontId="1" fillId="3" borderId="0" xfId="1" applyFill="1"/>
    <xf numFmtId="0" fontId="1" fillId="0" borderId="0" xfId="1" applyAlignment="1">
      <alignment horizontal="center"/>
    </xf>
    <xf numFmtId="4" fontId="25" fillId="0" borderId="5" xfId="1" applyNumberFormat="1" applyFont="1" applyBorder="1" applyAlignment="1">
      <alignment horizontal="center"/>
    </xf>
    <xf numFmtId="0" fontId="7" fillId="3" borderId="20" xfId="1" applyFont="1" applyFill="1" applyBorder="1" applyAlignment="1">
      <alignment horizontal="left" vertical="center" wrapText="1"/>
    </xf>
    <xf numFmtId="4" fontId="13" fillId="0" borderId="13" xfId="1" applyNumberFormat="1" applyFont="1" applyFill="1" applyBorder="1" applyAlignment="1">
      <alignment horizontal="center"/>
    </xf>
    <xf numFmtId="4" fontId="11" fillId="0" borderId="21" xfId="1" applyNumberFormat="1" applyFont="1" applyFill="1" applyBorder="1" applyAlignment="1">
      <alignment horizontal="center" vertical="center" wrapText="1"/>
    </xf>
    <xf numFmtId="4" fontId="7" fillId="0" borderId="22" xfId="1" applyNumberFormat="1" applyFont="1" applyFill="1" applyBorder="1" applyAlignment="1">
      <alignment horizontal="center" vertical="center" wrapText="1"/>
    </xf>
    <xf numFmtId="4" fontId="13" fillId="0" borderId="21" xfId="1" applyNumberFormat="1" applyFont="1" applyFill="1" applyBorder="1" applyAlignment="1">
      <alignment horizontal="center"/>
    </xf>
    <xf numFmtId="4" fontId="5" fillId="0" borderId="22" xfId="1" applyNumberFormat="1" applyFont="1" applyFill="1" applyBorder="1" applyAlignment="1">
      <alignment horizontal="center"/>
    </xf>
    <xf numFmtId="4" fontId="11" fillId="0" borderId="22" xfId="1" applyNumberFormat="1" applyFont="1" applyFill="1" applyBorder="1" applyAlignment="1">
      <alignment horizontal="center"/>
    </xf>
    <xf numFmtId="4" fontId="13" fillId="2" borderId="21" xfId="1" applyNumberFormat="1" applyFont="1" applyFill="1" applyBorder="1" applyAlignment="1">
      <alignment horizontal="center"/>
    </xf>
    <xf numFmtId="4" fontId="13" fillId="2" borderId="22" xfId="1" applyNumberFormat="1" applyFont="1" applyFill="1" applyBorder="1" applyAlignment="1">
      <alignment horizontal="center"/>
    </xf>
    <xf numFmtId="4" fontId="13" fillId="0" borderId="23" xfId="1" applyNumberFormat="1" applyFont="1" applyFill="1" applyBorder="1" applyAlignment="1">
      <alignment horizontal="center"/>
    </xf>
    <xf numFmtId="4" fontId="11" fillId="0" borderId="21" xfId="1" applyNumberFormat="1" applyFont="1" applyFill="1" applyBorder="1" applyAlignment="1">
      <alignment horizontal="center"/>
    </xf>
    <xf numFmtId="4" fontId="13" fillId="4" borderId="21" xfId="1" applyNumberFormat="1" applyFont="1" applyFill="1" applyBorder="1" applyAlignment="1">
      <alignment horizontal="center"/>
    </xf>
    <xf numFmtId="4" fontId="11" fillId="4" borderId="22" xfId="1" applyNumberFormat="1" applyFont="1" applyFill="1" applyBorder="1" applyAlignment="1">
      <alignment horizontal="center"/>
    </xf>
    <xf numFmtId="4" fontId="11" fillId="3" borderId="22" xfId="1" applyNumberFormat="1" applyFont="1" applyFill="1" applyBorder="1" applyAlignment="1">
      <alignment horizontal="center"/>
    </xf>
    <xf numFmtId="4" fontId="13" fillId="0" borderId="22" xfId="1" applyNumberFormat="1" applyFont="1" applyFill="1" applyBorder="1" applyAlignment="1">
      <alignment horizontal="center"/>
    </xf>
    <xf numFmtId="4" fontId="15" fillId="0" borderId="21" xfId="1" applyNumberFormat="1" applyFont="1" applyFill="1" applyBorder="1" applyAlignment="1">
      <alignment horizontal="center"/>
    </xf>
    <xf numFmtId="4" fontId="13" fillId="4" borderId="22" xfId="1" applyNumberFormat="1" applyFont="1" applyFill="1" applyBorder="1" applyAlignment="1">
      <alignment horizontal="center"/>
    </xf>
    <xf numFmtId="4" fontId="13" fillId="0" borderId="24" xfId="1" applyNumberFormat="1" applyFont="1" applyFill="1" applyBorder="1" applyAlignment="1">
      <alignment horizontal="center"/>
    </xf>
    <xf numFmtId="4" fontId="11" fillId="0" borderId="25" xfId="1" applyNumberFormat="1" applyFont="1" applyFill="1" applyBorder="1"/>
    <xf numFmtId="4" fontId="11" fillId="0" borderId="26" xfId="1" applyNumberFormat="1" applyFont="1" applyFill="1" applyBorder="1"/>
    <xf numFmtId="4" fontId="13" fillId="0" borderId="15" xfId="1" applyNumberFormat="1" applyFont="1" applyFill="1" applyBorder="1" applyAlignment="1">
      <alignment horizontal="left"/>
    </xf>
    <xf numFmtId="4" fontId="13" fillId="6" borderId="15" xfId="1" applyNumberFormat="1" applyFont="1" applyFill="1" applyBorder="1" applyAlignment="1">
      <alignment horizontal="center"/>
    </xf>
    <xf numFmtId="4" fontId="1" fillId="0" borderId="14" xfId="1" applyNumberFormat="1" applyBorder="1" applyAlignment="1">
      <alignment horizontal="center"/>
    </xf>
    <xf numFmtId="4" fontId="7" fillId="0" borderId="21" xfId="1" applyNumberFormat="1" applyFont="1" applyFill="1" applyBorder="1" applyAlignment="1">
      <alignment horizontal="center" vertical="center" wrapText="1"/>
    </xf>
    <xf numFmtId="4" fontId="8" fillId="0" borderId="21" xfId="1" applyNumberFormat="1" applyFont="1" applyFill="1" applyBorder="1" applyAlignment="1">
      <alignment horizontal="center"/>
    </xf>
    <xf numFmtId="4" fontId="8" fillId="0" borderId="22" xfId="1" applyNumberFormat="1" applyFont="1" applyFill="1" applyBorder="1" applyAlignment="1">
      <alignment horizontal="center"/>
    </xf>
    <xf numFmtId="4" fontId="1" fillId="0" borderId="21" xfId="1" applyNumberFormat="1" applyBorder="1" applyAlignment="1">
      <alignment horizontal="center"/>
    </xf>
    <xf numFmtId="4" fontId="17" fillId="0" borderId="21" xfId="1" applyNumberFormat="1" applyFont="1" applyBorder="1" applyAlignment="1">
      <alignment horizontal="center"/>
    </xf>
    <xf numFmtId="4" fontId="17" fillId="2" borderId="21" xfId="1" applyNumberFormat="1" applyFont="1" applyFill="1" applyBorder="1" applyAlignment="1">
      <alignment horizontal="center"/>
    </xf>
    <xf numFmtId="4" fontId="13" fillId="6" borderId="22" xfId="1" applyNumberFormat="1" applyFont="1" applyFill="1" applyBorder="1" applyAlignment="1">
      <alignment horizontal="center"/>
    </xf>
    <xf numFmtId="4" fontId="1" fillId="0" borderId="21" xfId="1" applyNumberFormat="1" applyFont="1" applyBorder="1" applyAlignment="1">
      <alignment horizontal="center"/>
    </xf>
    <xf numFmtId="4" fontId="17" fillId="6" borderId="21" xfId="1" applyNumberFormat="1" applyFont="1" applyFill="1" applyBorder="1" applyAlignment="1">
      <alignment horizontal="center"/>
    </xf>
    <xf numFmtId="4" fontId="11" fillId="0" borderId="24" xfId="1" applyNumberFormat="1" applyFont="1" applyFill="1" applyBorder="1" applyAlignment="1">
      <alignment horizontal="center"/>
    </xf>
    <xf numFmtId="4" fontId="11" fillId="0" borderId="25" xfId="1" applyNumberFormat="1" applyFont="1" applyFill="1" applyBorder="1" applyAlignment="1">
      <alignment horizontal="center"/>
    </xf>
    <xf numFmtId="4" fontId="11" fillId="0" borderId="26" xfId="1" applyNumberFormat="1" applyFont="1" applyFill="1" applyBorder="1" applyAlignment="1">
      <alignment horizontal="center"/>
    </xf>
    <xf numFmtId="4" fontId="11" fillId="8" borderId="5" xfId="1" applyNumberFormat="1" applyFont="1" applyFill="1" applyBorder="1" applyAlignment="1">
      <alignment horizontal="center"/>
    </xf>
    <xf numFmtId="4" fontId="13" fillId="8" borderId="5" xfId="1" applyNumberFormat="1" applyFont="1" applyFill="1" applyBorder="1" applyAlignment="1">
      <alignment horizontal="center"/>
    </xf>
    <xf numFmtId="4" fontId="11" fillId="9" borderId="5" xfId="1" applyNumberFormat="1" applyFont="1" applyFill="1" applyBorder="1" applyAlignment="1">
      <alignment horizontal="center"/>
    </xf>
    <xf numFmtId="0" fontId="1" fillId="0" borderId="14" xfId="1" applyBorder="1" applyAlignment="1">
      <alignment horizontal="center"/>
    </xf>
    <xf numFmtId="4" fontId="1" fillId="0" borderId="0" xfId="1" applyNumberFormat="1" applyAlignment="1">
      <alignment horizontal="center"/>
    </xf>
    <xf numFmtId="4" fontId="13" fillId="7" borderId="6" xfId="1" applyNumberFormat="1" applyFont="1" applyFill="1" applyBorder="1" applyAlignment="1">
      <alignment horizontal="center"/>
    </xf>
    <xf numFmtId="0" fontId="26" fillId="3" borderId="6" xfId="1" applyFont="1" applyFill="1" applyBorder="1" applyAlignment="1">
      <alignment horizontal="left" vertical="center" wrapText="1"/>
    </xf>
    <xf numFmtId="4" fontId="19" fillId="0" borderId="0" xfId="1" applyNumberFormat="1" applyFont="1"/>
    <xf numFmtId="0" fontId="29" fillId="0" borderId="0" xfId="1" applyFont="1" applyAlignment="1">
      <alignment horizontal="center"/>
    </xf>
    <xf numFmtId="4" fontId="18" fillId="0" borderId="3" xfId="1" applyNumberFormat="1" applyFont="1" applyBorder="1" applyAlignment="1">
      <alignment horizontal="center"/>
    </xf>
    <xf numFmtId="4" fontId="18" fillId="0" borderId="3" xfId="1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4" fillId="4" borderId="6" xfId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20" fillId="0" borderId="3" xfId="1" applyNumberFormat="1" applyFont="1" applyBorder="1" applyAlignment="1">
      <alignment horizontal="center"/>
    </xf>
    <xf numFmtId="4" fontId="18" fillId="0" borderId="3" xfId="1" applyNumberFormat="1" applyFont="1" applyBorder="1" applyAlignment="1">
      <alignment horizontal="center"/>
    </xf>
    <xf numFmtId="0" fontId="12" fillId="2" borderId="7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33" xfId="1" applyFont="1" applyFill="1" applyBorder="1" applyAlignment="1">
      <alignment horizontal="center" vertical="center" wrapText="1"/>
    </xf>
    <xf numFmtId="0" fontId="17" fillId="0" borderId="27" xfId="1" applyFont="1" applyBorder="1" applyAlignment="1">
      <alignment horizontal="center" vertical="center" wrapText="1"/>
    </xf>
    <xf numFmtId="0" fontId="17" fillId="0" borderId="28" xfId="1" applyFont="1" applyBorder="1" applyAlignment="1">
      <alignment horizontal="center" vertical="center" wrapText="1"/>
    </xf>
    <xf numFmtId="0" fontId="17" fillId="0" borderId="29" xfId="1" applyFont="1" applyBorder="1" applyAlignment="1">
      <alignment horizontal="center" vertical="center" wrapText="1"/>
    </xf>
    <xf numFmtId="4" fontId="6" fillId="0" borderId="30" xfId="1" applyNumberFormat="1" applyFont="1" applyFill="1" applyBorder="1" applyAlignment="1">
      <alignment horizontal="center" vertical="center" wrapText="1"/>
    </xf>
    <xf numFmtId="4" fontId="6" fillId="0" borderId="31" xfId="1" applyNumberFormat="1" applyFont="1" applyFill="1" applyBorder="1" applyAlignment="1">
      <alignment horizontal="center" vertical="center" wrapText="1"/>
    </xf>
    <xf numFmtId="4" fontId="6" fillId="0" borderId="32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4" fontId="5" fillId="0" borderId="27" xfId="1" applyNumberFormat="1" applyFont="1" applyFill="1" applyBorder="1" applyAlignment="1">
      <alignment horizontal="center" vertical="center" wrapText="1"/>
    </xf>
    <xf numFmtId="4" fontId="5" fillId="0" borderId="28" xfId="1" applyNumberFormat="1" applyFont="1" applyFill="1" applyBorder="1" applyAlignment="1">
      <alignment horizontal="center" vertical="center" wrapText="1"/>
    </xf>
    <xf numFmtId="4" fontId="5" fillId="0" borderId="29" xfId="1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left" vertical="center" wrapText="1"/>
    </xf>
  </cellXfs>
  <cellStyles count="3">
    <cellStyle name="Excel Built-in Normal" xfId="1" xr:uid="{00000000-0005-0000-0000-000000000000}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E699"/>
      <rgbColor rgb="00FFFF99"/>
      <rgbColor rgb="0099CCFF"/>
      <rgbColor rgb="00FF99CC"/>
      <rgbColor rgb="00CC99FF"/>
      <rgbColor rgb="00FFD966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B37D3-0F9A-4BA9-B7C4-A84EA9870037}">
  <dimension ref="A2:CQ150"/>
  <sheetViews>
    <sheetView tabSelected="1" zoomScale="98" zoomScaleNormal="98" workbookViewId="0">
      <pane xSplit="2" ySplit="6" topLeftCell="CA108" activePane="bottomRight" state="frozen"/>
      <selection pane="topRight" activeCell="AP1" sqref="AP1"/>
      <selection pane="bottomLeft" activeCell="A6" sqref="A6"/>
      <selection pane="bottomRight" activeCell="A3" sqref="A3:CD145"/>
    </sheetView>
  </sheetViews>
  <sheetFormatPr defaultColWidth="8.7109375" defaultRowHeight="14.25" outlineLevelRow="2" x14ac:dyDescent="0.2"/>
  <cols>
    <col min="1" max="1" width="7.140625" style="1" customWidth="1"/>
    <col min="2" max="2" width="38.5703125" style="1" customWidth="1"/>
    <col min="3" max="3" width="17" style="71" hidden="1" customWidth="1"/>
    <col min="4" max="4" width="16.28515625" style="1" hidden="1" customWidth="1"/>
    <col min="5" max="5" width="16.42578125" style="1" hidden="1" customWidth="1"/>
    <col min="6" max="6" width="15.28515625" style="1" hidden="1" customWidth="1"/>
    <col min="7" max="7" width="16.85546875" style="1" hidden="1" customWidth="1"/>
    <col min="8" max="8" width="16.7109375" style="1" hidden="1" customWidth="1"/>
    <col min="9" max="9" width="16.85546875" style="1" hidden="1" customWidth="1"/>
    <col min="10" max="10" width="15.28515625" style="1" hidden="1" customWidth="1"/>
    <col min="11" max="11" width="16.28515625" style="1" hidden="1" customWidth="1"/>
    <col min="12" max="12" width="16.7109375" style="1" hidden="1" customWidth="1"/>
    <col min="13" max="13" width="16.28515625" style="1" hidden="1" customWidth="1"/>
    <col min="14" max="14" width="15.28515625" style="1" hidden="1" customWidth="1"/>
    <col min="15" max="15" width="17.140625" style="1" hidden="1" customWidth="1"/>
    <col min="16" max="16" width="16.85546875" style="1" hidden="1" customWidth="1"/>
    <col min="17" max="17" width="17.140625" style="1" hidden="1" customWidth="1"/>
    <col min="18" max="18" width="15.28515625" style="1" hidden="1" customWidth="1"/>
    <col min="19" max="19" width="17.42578125" style="1" hidden="1" customWidth="1"/>
    <col min="20" max="20" width="17" style="1" hidden="1" customWidth="1"/>
    <col min="21" max="21" width="16.7109375" style="1" hidden="1" customWidth="1"/>
    <col min="22" max="22" width="15.28515625" style="1" hidden="1" customWidth="1"/>
    <col min="23" max="23" width="17.42578125" style="1" hidden="1" customWidth="1"/>
    <col min="24" max="24" width="16.42578125" style="1" hidden="1" customWidth="1"/>
    <col min="25" max="25" width="17.5703125" style="1" hidden="1" customWidth="1"/>
    <col min="26" max="26" width="15.28515625" style="1" hidden="1" customWidth="1"/>
    <col min="27" max="27" width="16.85546875" style="1" hidden="1" customWidth="1"/>
    <col min="28" max="28" width="17.140625" style="1" hidden="1" customWidth="1"/>
    <col min="29" max="29" width="16.85546875" style="1" hidden="1" customWidth="1"/>
    <col min="30" max="30" width="15.28515625" style="1" hidden="1" customWidth="1"/>
    <col min="31" max="31" width="16.85546875" style="1" hidden="1" customWidth="1"/>
    <col min="32" max="32" width="16.42578125" style="1" hidden="1" customWidth="1"/>
    <col min="33" max="33" width="16.7109375" style="1" hidden="1" customWidth="1"/>
    <col min="34" max="34" width="15.28515625" style="1" hidden="1" customWidth="1"/>
    <col min="35" max="35" width="17" style="1" hidden="1" customWidth="1"/>
    <col min="36" max="36" width="17.85546875" style="1" hidden="1" customWidth="1"/>
    <col min="37" max="37" width="17.42578125" style="1" hidden="1" customWidth="1"/>
    <col min="38" max="38" width="15.28515625" style="1" hidden="1" customWidth="1"/>
    <col min="39" max="39" width="16.28515625" style="1" hidden="1" customWidth="1"/>
    <col min="40" max="40" width="16.140625" style="1" hidden="1" customWidth="1"/>
    <col min="41" max="41" width="18" style="1" hidden="1" customWidth="1"/>
    <col min="42" max="42" width="16.85546875" style="1" hidden="1" customWidth="1"/>
    <col min="43" max="43" width="16.7109375" style="1" hidden="1" customWidth="1"/>
    <col min="44" max="44" width="15.7109375" style="1" hidden="1" customWidth="1"/>
    <col min="45" max="46" width="17.42578125" style="1" hidden="1" customWidth="1"/>
    <col min="47" max="47" width="16.140625" style="1" hidden="1" customWidth="1"/>
    <col min="48" max="49" width="14.28515625" style="1" hidden="1" customWidth="1"/>
    <col min="50" max="50" width="17.42578125" style="1" hidden="1" customWidth="1"/>
    <col min="51" max="51" width="16.140625" style="1" hidden="1" customWidth="1"/>
    <col min="52" max="52" width="15.5703125" style="1" hidden="1" customWidth="1"/>
    <col min="53" max="53" width="16.85546875" style="1" hidden="1" customWidth="1"/>
    <col min="54" max="54" width="17.140625" style="1" hidden="1" customWidth="1"/>
    <col min="55" max="55" width="15" style="1" hidden="1" customWidth="1"/>
    <col min="56" max="56" width="15.140625" style="1" hidden="1" customWidth="1"/>
    <col min="57" max="57" width="16.7109375" style="1" hidden="1" customWidth="1"/>
    <col min="58" max="58" width="12.42578125" style="1" hidden="1" customWidth="1"/>
    <col min="59" max="59" width="12.85546875" style="1" hidden="1" customWidth="1"/>
    <col min="60" max="60" width="13.85546875" style="1" hidden="1" customWidth="1"/>
    <col min="61" max="61" width="16" style="1" hidden="1" customWidth="1"/>
    <col min="62" max="62" width="14.7109375" style="1" hidden="1" customWidth="1"/>
    <col min="63" max="63" width="14.5703125" style="1" hidden="1" customWidth="1"/>
    <col min="64" max="64" width="16.140625" style="1" hidden="1" customWidth="1"/>
    <col min="65" max="65" width="14.5703125" style="1" hidden="1" customWidth="1"/>
    <col min="66" max="66" width="15.28515625" style="1" hidden="1" customWidth="1"/>
    <col min="67" max="67" width="16.85546875" style="1" hidden="1" customWidth="1"/>
    <col min="68" max="69" width="13.42578125" style="1" hidden="1" customWidth="1"/>
    <col min="70" max="70" width="16.85546875" style="1" hidden="1" customWidth="1"/>
    <col min="71" max="71" width="14.5703125" style="1" hidden="1" customWidth="1"/>
    <col min="72" max="72" width="13.85546875" style="1" hidden="1" customWidth="1"/>
    <col min="73" max="73" width="13.28515625" style="1" hidden="1" customWidth="1"/>
    <col min="74" max="74" width="14.140625" style="1" hidden="1" customWidth="1"/>
    <col min="75" max="75" width="11.7109375" style="1" hidden="1" customWidth="1"/>
    <col min="76" max="76" width="12.140625" style="1" hidden="1" customWidth="1"/>
    <col min="77" max="77" width="14" style="1" hidden="1" customWidth="1"/>
    <col min="78" max="78" width="13.85546875" style="1" hidden="1" customWidth="1"/>
    <col min="79" max="79" width="14.28515625" style="1" customWidth="1"/>
    <col min="80" max="80" width="13.42578125" style="1" customWidth="1"/>
    <col min="81" max="81" width="14.85546875" style="1" customWidth="1"/>
    <col min="82" max="82" width="13.140625" style="1" customWidth="1"/>
    <col min="83" max="83" width="8.7109375" style="1" customWidth="1"/>
    <col min="84" max="84" width="13.28515625" style="1" customWidth="1"/>
    <col min="85" max="85" width="16" style="1" customWidth="1"/>
    <col min="86" max="86" width="19.7109375" style="1" customWidth="1"/>
    <col min="87" max="87" width="8.7109375" style="1" customWidth="1"/>
    <col min="88" max="88" width="14.7109375" style="1" hidden="1" customWidth="1"/>
    <col min="89" max="89" width="13.140625" style="1" hidden="1" customWidth="1"/>
    <col min="90" max="90" width="12.140625" style="1" hidden="1" customWidth="1"/>
    <col min="91" max="92" width="16.140625" style="1" hidden="1" customWidth="1"/>
    <col min="93" max="93" width="15.5703125" style="1" hidden="1" customWidth="1"/>
    <col min="94" max="94" width="15" style="1" hidden="1" customWidth="1"/>
    <col min="95" max="95" width="16.28515625" style="1" hidden="1" customWidth="1"/>
    <col min="96" max="16384" width="8.7109375" style="1"/>
  </cols>
  <sheetData>
    <row r="2" spans="1:95" x14ac:dyDescent="0.2">
      <c r="B2" s="72"/>
      <c r="C2" s="206">
        <f>K37+K98</f>
        <v>598459.29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>
        <f>E33+I33+M33</f>
        <v>10654765.4</v>
      </c>
      <c r="R2" s="3"/>
      <c r="T2" s="3">
        <f>T17+T19</f>
        <v>685248.9</v>
      </c>
      <c r="W2" s="3"/>
      <c r="X2" s="3"/>
      <c r="Y2" s="3"/>
      <c r="Z2" s="3"/>
      <c r="AA2" s="3"/>
      <c r="AB2" s="3"/>
      <c r="AC2" s="3"/>
      <c r="AF2" s="3"/>
      <c r="AG2" s="3"/>
      <c r="AH2" s="3"/>
      <c r="AJ2" s="3">
        <f>BD22+BD23+BD24+BD29+BD30</f>
        <v>3102599.15</v>
      </c>
      <c r="AL2" s="3">
        <f>AJ36+AJ37+AJ97+AJ98</f>
        <v>12047422.41</v>
      </c>
      <c r="AM2" s="3">
        <f>AJ101+AJ40</f>
        <v>1708848.34</v>
      </c>
      <c r="AN2" s="3">
        <f>AK46+AO46+AS46+AW46</f>
        <v>789255</v>
      </c>
      <c r="AO2" s="3"/>
      <c r="AQ2" s="3">
        <f>AM33+AQ33+AU33</f>
        <v>12157398.940000001</v>
      </c>
      <c r="AS2" s="3"/>
      <c r="AV2" s="3"/>
      <c r="AW2" s="3"/>
      <c r="AX2" s="3"/>
      <c r="AZ2" s="3"/>
      <c r="BC2" s="3">
        <f>BD10-BD13</f>
        <v>36383495.219999999</v>
      </c>
      <c r="BD2" s="3"/>
      <c r="BE2" s="3"/>
      <c r="BG2" s="3"/>
      <c r="BQ2" s="3"/>
    </row>
    <row r="3" spans="1:95" ht="12.75" customHeight="1" x14ac:dyDescent="0.2">
      <c r="A3" s="210" t="s">
        <v>177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</row>
    <row r="4" spans="1:95" ht="22.5" customHeight="1" thickBot="1" x14ac:dyDescent="0.2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</row>
    <row r="5" spans="1:95" ht="13.5" customHeight="1" x14ac:dyDescent="0.25">
      <c r="A5" s="225" t="s">
        <v>0</v>
      </c>
      <c r="B5" s="226" t="s">
        <v>1</v>
      </c>
      <c r="C5" s="227" t="s">
        <v>2</v>
      </c>
      <c r="D5" s="228"/>
      <c r="E5" s="228"/>
      <c r="F5" s="229"/>
      <c r="G5" s="222" t="s">
        <v>3</v>
      </c>
      <c r="H5" s="212"/>
      <c r="I5" s="212"/>
      <c r="J5" s="212"/>
      <c r="K5" s="224" t="s">
        <v>4</v>
      </c>
      <c r="L5" s="224"/>
      <c r="M5" s="224"/>
      <c r="N5" s="224"/>
      <c r="O5" s="224" t="s">
        <v>168</v>
      </c>
      <c r="P5" s="224"/>
      <c r="Q5" s="224"/>
      <c r="R5" s="224"/>
      <c r="S5" s="212" t="s">
        <v>5</v>
      </c>
      <c r="T5" s="212"/>
      <c r="U5" s="212"/>
      <c r="V5" s="212"/>
      <c r="W5" s="212" t="s">
        <v>6</v>
      </c>
      <c r="X5" s="212"/>
      <c r="Y5" s="212"/>
      <c r="Z5" s="212"/>
      <c r="AA5" s="212" t="s">
        <v>7</v>
      </c>
      <c r="AB5" s="212"/>
      <c r="AC5" s="212"/>
      <c r="AD5" s="212"/>
      <c r="AE5" s="212" t="s">
        <v>8</v>
      </c>
      <c r="AF5" s="212"/>
      <c r="AG5" s="212"/>
      <c r="AH5" s="212"/>
      <c r="AI5" s="223" t="s">
        <v>9</v>
      </c>
      <c r="AJ5" s="223"/>
      <c r="AK5" s="223"/>
      <c r="AL5" s="4"/>
      <c r="AM5" s="212" t="s">
        <v>10</v>
      </c>
      <c r="AN5" s="212"/>
      <c r="AO5" s="212"/>
      <c r="AP5" s="212"/>
      <c r="AQ5" s="212" t="s">
        <v>11</v>
      </c>
      <c r="AR5" s="212"/>
      <c r="AS5" s="212"/>
      <c r="AT5" s="212"/>
      <c r="AU5" s="212" t="s">
        <v>12</v>
      </c>
      <c r="AV5" s="212"/>
      <c r="AW5" s="212"/>
      <c r="AX5" s="212"/>
      <c r="AY5" s="212" t="s">
        <v>13</v>
      </c>
      <c r="AZ5" s="212"/>
      <c r="BA5" s="212"/>
      <c r="BB5" s="224"/>
      <c r="BC5" s="219" t="s">
        <v>14</v>
      </c>
      <c r="BD5" s="220"/>
      <c r="BE5" s="220"/>
      <c r="BF5" s="221"/>
      <c r="BG5" s="222" t="s">
        <v>15</v>
      </c>
      <c r="BH5" s="212"/>
      <c r="BI5" s="212"/>
      <c r="BJ5" s="212"/>
      <c r="BK5" s="212" t="s">
        <v>16</v>
      </c>
      <c r="BL5" s="212"/>
      <c r="BM5" s="212"/>
      <c r="BN5" s="212"/>
      <c r="BO5" s="212" t="s">
        <v>148</v>
      </c>
      <c r="BP5" s="212"/>
      <c r="BQ5" s="212"/>
      <c r="BR5" s="212"/>
      <c r="BS5" s="212" t="s">
        <v>17</v>
      </c>
      <c r="BT5" s="212"/>
      <c r="BU5" s="212"/>
      <c r="BV5" s="212"/>
      <c r="BW5" s="212" t="s">
        <v>149</v>
      </c>
      <c r="BX5" s="212"/>
      <c r="BY5" s="212"/>
      <c r="BZ5" s="212"/>
      <c r="CA5" s="212" t="s">
        <v>150</v>
      </c>
      <c r="CB5" s="212"/>
      <c r="CC5" s="212"/>
      <c r="CD5" s="212"/>
      <c r="CJ5" s="213" t="s">
        <v>17</v>
      </c>
      <c r="CK5" s="213"/>
      <c r="CL5" s="213"/>
      <c r="CM5" s="213"/>
      <c r="CN5" s="214" t="s">
        <v>18</v>
      </c>
      <c r="CO5" s="214"/>
      <c r="CP5" s="214"/>
      <c r="CQ5" s="214"/>
    </row>
    <row r="6" spans="1:95" ht="25.5" x14ac:dyDescent="0.2">
      <c r="A6" s="225"/>
      <c r="B6" s="226"/>
      <c r="C6" s="166" t="s">
        <v>19</v>
      </c>
      <c r="D6" s="6" t="s">
        <v>20</v>
      </c>
      <c r="E6" s="6" t="s">
        <v>21</v>
      </c>
      <c r="F6" s="167" t="s">
        <v>22</v>
      </c>
      <c r="G6" s="73" t="s">
        <v>19</v>
      </c>
      <c r="H6" s="6" t="s">
        <v>20</v>
      </c>
      <c r="I6" s="6" t="s">
        <v>21</v>
      </c>
      <c r="J6" s="7" t="s">
        <v>22</v>
      </c>
      <c r="K6" s="5" t="s">
        <v>19</v>
      </c>
      <c r="L6" s="6" t="s">
        <v>20</v>
      </c>
      <c r="M6" s="6" t="s">
        <v>21</v>
      </c>
      <c r="N6" s="7" t="s">
        <v>22</v>
      </c>
      <c r="O6" s="5" t="s">
        <v>19</v>
      </c>
      <c r="P6" s="6" t="s">
        <v>20</v>
      </c>
      <c r="Q6" s="6" t="s">
        <v>21</v>
      </c>
      <c r="R6" s="7" t="s">
        <v>22</v>
      </c>
      <c r="S6" s="5" t="s">
        <v>19</v>
      </c>
      <c r="T6" s="6" t="s">
        <v>20</v>
      </c>
      <c r="U6" s="6" t="s">
        <v>21</v>
      </c>
      <c r="V6" s="7" t="s">
        <v>22</v>
      </c>
      <c r="W6" s="5" t="s">
        <v>19</v>
      </c>
      <c r="X6" s="6" t="s">
        <v>20</v>
      </c>
      <c r="Y6" s="7" t="s">
        <v>21</v>
      </c>
      <c r="Z6" s="6" t="s">
        <v>22</v>
      </c>
      <c r="AA6" s="73" t="s">
        <v>19</v>
      </c>
      <c r="AB6" s="6" t="s">
        <v>20</v>
      </c>
      <c r="AC6" s="6" t="s">
        <v>21</v>
      </c>
      <c r="AD6" s="7" t="s">
        <v>22</v>
      </c>
      <c r="AE6" s="5" t="s">
        <v>19</v>
      </c>
      <c r="AF6" s="6" t="s">
        <v>20</v>
      </c>
      <c r="AG6" s="6" t="s">
        <v>21</v>
      </c>
      <c r="AH6" s="7" t="s">
        <v>22</v>
      </c>
      <c r="AI6" s="5" t="s">
        <v>19</v>
      </c>
      <c r="AJ6" s="6" t="s">
        <v>20</v>
      </c>
      <c r="AK6" s="6" t="s">
        <v>21</v>
      </c>
      <c r="AL6" s="7" t="s">
        <v>22</v>
      </c>
      <c r="AM6" s="5" t="s">
        <v>19</v>
      </c>
      <c r="AN6" s="6" t="s">
        <v>20</v>
      </c>
      <c r="AO6" s="74" t="s">
        <v>21</v>
      </c>
      <c r="AP6" s="75" t="s">
        <v>22</v>
      </c>
      <c r="AQ6" s="5" t="s">
        <v>19</v>
      </c>
      <c r="AR6" s="6" t="s">
        <v>20</v>
      </c>
      <c r="AS6" s="6" t="s">
        <v>21</v>
      </c>
      <c r="AT6" s="75" t="s">
        <v>22</v>
      </c>
      <c r="AU6" s="5" t="s">
        <v>19</v>
      </c>
      <c r="AV6" s="6" t="s">
        <v>20</v>
      </c>
      <c r="AW6" s="6" t="s">
        <v>21</v>
      </c>
      <c r="AX6" s="75" t="s">
        <v>22</v>
      </c>
      <c r="AY6" s="5" t="s">
        <v>19</v>
      </c>
      <c r="AZ6" s="6" t="s">
        <v>20</v>
      </c>
      <c r="BA6" s="6" t="s">
        <v>21</v>
      </c>
      <c r="BB6" s="7" t="s">
        <v>22</v>
      </c>
      <c r="BC6" s="187" t="s">
        <v>19</v>
      </c>
      <c r="BD6" s="6" t="s">
        <v>20</v>
      </c>
      <c r="BE6" s="6" t="s">
        <v>21</v>
      </c>
      <c r="BF6" s="167" t="s">
        <v>22</v>
      </c>
      <c r="BG6" s="73" t="s">
        <v>19</v>
      </c>
      <c r="BH6" s="6" t="s">
        <v>20</v>
      </c>
      <c r="BI6" s="6" t="s">
        <v>21</v>
      </c>
      <c r="BJ6" s="75" t="s">
        <v>22</v>
      </c>
      <c r="BK6" s="5" t="s">
        <v>19</v>
      </c>
      <c r="BL6" s="6" t="s">
        <v>20</v>
      </c>
      <c r="BM6" s="6" t="s">
        <v>21</v>
      </c>
      <c r="BN6" s="75" t="s">
        <v>22</v>
      </c>
      <c r="BO6" s="5" t="s">
        <v>19</v>
      </c>
      <c r="BP6" s="6" t="s">
        <v>20</v>
      </c>
      <c r="BQ6" s="6" t="s">
        <v>21</v>
      </c>
      <c r="BR6" s="75" t="s">
        <v>22</v>
      </c>
      <c r="BS6" s="5" t="s">
        <v>19</v>
      </c>
      <c r="BT6" s="6" t="s">
        <v>20</v>
      </c>
      <c r="BU6" s="6" t="s">
        <v>21</v>
      </c>
      <c r="BV6" s="75" t="s">
        <v>22</v>
      </c>
      <c r="BW6" s="5" t="s">
        <v>19</v>
      </c>
      <c r="BX6" s="6" t="s">
        <v>20</v>
      </c>
      <c r="BY6" s="6" t="s">
        <v>21</v>
      </c>
      <c r="BZ6" s="75" t="s">
        <v>22</v>
      </c>
      <c r="CA6" s="5" t="s">
        <v>19</v>
      </c>
      <c r="CB6" s="6" t="s">
        <v>20</v>
      </c>
      <c r="CC6" s="6" t="s">
        <v>21</v>
      </c>
      <c r="CD6" s="75" t="s">
        <v>22</v>
      </c>
      <c r="CF6" s="3"/>
      <c r="CJ6" s="8" t="s">
        <v>19</v>
      </c>
      <c r="CK6" s="8" t="s">
        <v>20</v>
      </c>
      <c r="CL6" s="8" t="s">
        <v>21</v>
      </c>
      <c r="CM6" s="8" t="s">
        <v>22</v>
      </c>
      <c r="CN6" s="8" t="s">
        <v>19</v>
      </c>
      <c r="CO6" s="8" t="s">
        <v>20</v>
      </c>
      <c r="CP6" s="8" t="s">
        <v>21</v>
      </c>
      <c r="CQ6" s="8" t="s">
        <v>22</v>
      </c>
    </row>
    <row r="7" spans="1:95" ht="16.5" x14ac:dyDescent="0.3">
      <c r="A7" s="9"/>
      <c r="B7" s="10"/>
      <c r="C7" s="168"/>
      <c r="D7" s="12"/>
      <c r="E7" s="76">
        <f>(1044518.64+21108.14)*0</f>
        <v>0</v>
      </c>
      <c r="F7" s="169"/>
      <c r="G7" s="80"/>
      <c r="H7" s="12"/>
      <c r="I7" s="25">
        <f>E134*0</f>
        <v>0</v>
      </c>
      <c r="J7" s="77"/>
      <c r="K7" s="11"/>
      <c r="L7" s="12"/>
      <c r="M7" s="76">
        <f>I134*0</f>
        <v>0</v>
      </c>
      <c r="N7" s="77"/>
      <c r="O7" s="11"/>
      <c r="P7" s="12"/>
      <c r="Q7" s="12">
        <f>E7</f>
        <v>0</v>
      </c>
      <c r="R7" s="13"/>
      <c r="S7" s="11"/>
      <c r="T7" s="12"/>
      <c r="U7" s="78">
        <f>M134*0</f>
        <v>0</v>
      </c>
      <c r="V7" s="79"/>
      <c r="W7" s="11"/>
      <c r="X7" s="12"/>
      <c r="Y7" s="77">
        <f>U134*0</f>
        <v>0</v>
      </c>
      <c r="Z7" s="14"/>
      <c r="AA7" s="80"/>
      <c r="AB7" s="12"/>
      <c r="AC7" s="76">
        <f>Y134*0</f>
        <v>0</v>
      </c>
      <c r="AD7" s="13"/>
      <c r="AE7" s="11"/>
      <c r="AF7" s="12"/>
      <c r="AG7" s="12">
        <f>U7</f>
        <v>0</v>
      </c>
      <c r="AH7" s="13"/>
      <c r="AI7" s="11"/>
      <c r="AJ7" s="12"/>
      <c r="AK7" s="12">
        <f>E7</f>
        <v>0</v>
      </c>
      <c r="AL7" s="13"/>
      <c r="AM7" s="11"/>
      <c r="AN7" s="12"/>
      <c r="AO7" s="76">
        <f>AC134*0</f>
        <v>0</v>
      </c>
      <c r="AP7" s="81"/>
      <c r="AQ7" s="11"/>
      <c r="AR7" s="12"/>
      <c r="AS7" s="76">
        <f>AO134*0</f>
        <v>0</v>
      </c>
      <c r="AT7" s="81"/>
      <c r="AU7" s="11"/>
      <c r="AV7" s="12"/>
      <c r="AW7" s="76">
        <f>1955298.22*0</f>
        <v>0</v>
      </c>
      <c r="AX7" s="81"/>
      <c r="AY7" s="11"/>
      <c r="AZ7" s="12"/>
      <c r="BA7" s="207">
        <f>2786777.82*0</f>
        <v>0</v>
      </c>
      <c r="BB7" s="13"/>
      <c r="BC7" s="188"/>
      <c r="BD7" s="12"/>
      <c r="BE7" s="12">
        <f>E7</f>
        <v>0</v>
      </c>
      <c r="BF7" s="189"/>
      <c r="BG7" s="80"/>
      <c r="BH7" s="12"/>
      <c r="BI7" s="12">
        <f>AW133*0</f>
        <v>0</v>
      </c>
      <c r="BJ7" s="81"/>
      <c r="BK7" s="11"/>
      <c r="BL7" s="12"/>
      <c r="BM7" s="12">
        <f>BI133*0</f>
        <v>0</v>
      </c>
      <c r="BN7" s="81"/>
      <c r="BO7" s="11"/>
      <c r="BP7" s="12"/>
      <c r="BQ7" s="12">
        <f>BM133*0</f>
        <v>0</v>
      </c>
      <c r="BR7" s="81"/>
      <c r="BS7" s="11"/>
      <c r="BT7" s="12"/>
      <c r="BU7" s="12">
        <f>2640697.41*0</f>
        <v>0</v>
      </c>
      <c r="BV7" s="81"/>
      <c r="BW7" s="11"/>
      <c r="BX7" s="12"/>
      <c r="BY7" s="12">
        <f>AO7</f>
        <v>0</v>
      </c>
      <c r="BZ7" s="81"/>
      <c r="CA7" s="11"/>
      <c r="CB7" s="12"/>
      <c r="CC7" s="76"/>
      <c r="CD7" s="81"/>
      <c r="CJ7" s="82"/>
      <c r="CK7" s="82"/>
      <c r="CL7" s="82"/>
      <c r="CM7" s="82"/>
      <c r="CN7" s="82"/>
      <c r="CO7" s="82"/>
      <c r="CP7" s="82"/>
      <c r="CQ7" s="82"/>
    </row>
    <row r="8" spans="1:95" ht="16.5" hidden="1" outlineLevel="1" x14ac:dyDescent="0.3">
      <c r="A8" s="15"/>
      <c r="B8" s="16" t="s">
        <v>24</v>
      </c>
      <c r="C8" s="168"/>
      <c r="D8" s="18"/>
      <c r="E8" s="18"/>
      <c r="F8" s="170"/>
      <c r="G8" s="83"/>
      <c r="H8" s="18"/>
      <c r="I8" s="18"/>
      <c r="J8" s="19"/>
      <c r="K8" s="17"/>
      <c r="L8" s="18"/>
      <c r="M8" s="18"/>
      <c r="N8" s="19"/>
      <c r="O8" s="17"/>
      <c r="P8" s="18"/>
      <c r="Q8" s="18"/>
      <c r="R8" s="19">
        <f>F8+J8+N8</f>
        <v>0</v>
      </c>
      <c r="S8" s="17"/>
      <c r="T8" s="18"/>
      <c r="U8" s="18"/>
      <c r="V8" s="19">
        <f>T8-S8</f>
        <v>0</v>
      </c>
      <c r="W8" s="17"/>
      <c r="X8" s="18"/>
      <c r="Y8" s="19"/>
      <c r="Z8" s="18">
        <f>X8-W8</f>
        <v>0</v>
      </c>
      <c r="AA8" s="83"/>
      <c r="AB8" s="18"/>
      <c r="AC8" s="18"/>
      <c r="AD8" s="19">
        <f>AB8-AA8</f>
        <v>0</v>
      </c>
      <c r="AE8" s="17">
        <f t="shared" ref="AE8:AG9" si="0">S8+W8+AA8</f>
        <v>0</v>
      </c>
      <c r="AF8" s="18">
        <f t="shared" si="0"/>
        <v>0</v>
      </c>
      <c r="AG8" s="18">
        <f t="shared" si="0"/>
        <v>0</v>
      </c>
      <c r="AH8" s="19">
        <f>AF8-AE8</f>
        <v>0</v>
      </c>
      <c r="AI8" s="17">
        <f t="shared" ref="AI8:AK9" si="1">O8+AE8</f>
        <v>0</v>
      </c>
      <c r="AJ8" s="18">
        <f t="shared" si="1"/>
        <v>0</v>
      </c>
      <c r="AK8" s="18">
        <f t="shared" si="1"/>
        <v>0</v>
      </c>
      <c r="AL8" s="19">
        <f>AJ8-AI8</f>
        <v>0</v>
      </c>
      <c r="AM8" s="17"/>
      <c r="AN8" s="18"/>
      <c r="AO8" s="18"/>
      <c r="AP8" s="20">
        <f>AN8-AM8</f>
        <v>0</v>
      </c>
      <c r="AQ8" s="17"/>
      <c r="AR8" s="18"/>
      <c r="AS8" s="18"/>
      <c r="AT8" s="20">
        <f>AR8-AQ8</f>
        <v>0</v>
      </c>
      <c r="AU8" s="17"/>
      <c r="AV8" s="18"/>
      <c r="AW8" s="18"/>
      <c r="AX8" s="20">
        <f>AV8-AU8</f>
        <v>0</v>
      </c>
      <c r="AY8" s="17">
        <f t="shared" ref="AY8:BA9" si="2">AM8+AQ8+AU8</f>
        <v>0</v>
      </c>
      <c r="AZ8" s="18">
        <f t="shared" si="2"/>
        <v>0</v>
      </c>
      <c r="BA8" s="18">
        <f t="shared" si="2"/>
        <v>0</v>
      </c>
      <c r="BB8" s="19">
        <f>AZ8-AY8</f>
        <v>0</v>
      </c>
      <c r="BC8" s="190">
        <f t="shared" ref="BC8:BE9" si="3">(AI8+AY8)</f>
        <v>0</v>
      </c>
      <c r="BD8" s="84">
        <f t="shared" si="3"/>
        <v>0</v>
      </c>
      <c r="BE8" s="84">
        <f t="shared" si="3"/>
        <v>0</v>
      </c>
      <c r="BF8" s="170">
        <f>BD8-BC8</f>
        <v>0</v>
      </c>
      <c r="BG8" s="83"/>
      <c r="BH8" s="18"/>
      <c r="BI8" s="18"/>
      <c r="BJ8" s="20">
        <f>BH8-BG8</f>
        <v>0</v>
      </c>
      <c r="BK8" s="17"/>
      <c r="BL8" s="18"/>
      <c r="BM8" s="18"/>
      <c r="BN8" s="20">
        <f>BL8-BK8</f>
        <v>0</v>
      </c>
      <c r="BO8" s="17"/>
      <c r="BP8" s="18"/>
      <c r="BQ8" s="18"/>
      <c r="BR8" s="20">
        <f>BP8-BO8</f>
        <v>0</v>
      </c>
      <c r="BS8" s="17">
        <f t="shared" ref="BS8:BU9" si="4">BG8+BK8+BO8</f>
        <v>0</v>
      </c>
      <c r="BT8" s="18">
        <f t="shared" si="4"/>
        <v>0</v>
      </c>
      <c r="BU8" s="18">
        <f t="shared" si="4"/>
        <v>0</v>
      </c>
      <c r="BV8" s="20">
        <f>BT8-BS8</f>
        <v>0</v>
      </c>
      <c r="BW8" s="17">
        <f t="shared" ref="BW8:BY9" si="5">BS8+AY8</f>
        <v>0</v>
      </c>
      <c r="BX8" s="18">
        <f t="shared" si="5"/>
        <v>0</v>
      </c>
      <c r="BY8" s="18">
        <f t="shared" si="5"/>
        <v>0</v>
      </c>
      <c r="BZ8" s="20">
        <f>BX8-BW8</f>
        <v>0</v>
      </c>
      <c r="CA8" s="17">
        <f t="shared" ref="CA8:CC9" si="6">BW8+AI8</f>
        <v>0</v>
      </c>
      <c r="CB8" s="18">
        <f t="shared" si="6"/>
        <v>0</v>
      </c>
      <c r="CC8" s="18">
        <f t="shared" si="6"/>
        <v>0</v>
      </c>
      <c r="CD8" s="20">
        <f>CB8-CA8</f>
        <v>0</v>
      </c>
      <c r="CF8" s="3"/>
      <c r="CJ8" s="82"/>
      <c r="CK8" s="82"/>
      <c r="CL8" s="82"/>
      <c r="CM8" s="82"/>
      <c r="CN8" s="82"/>
      <c r="CO8" s="82"/>
      <c r="CP8" s="82"/>
      <c r="CQ8" s="82"/>
    </row>
    <row r="9" spans="1:95" ht="16.5" hidden="1" outlineLevel="1" x14ac:dyDescent="0.3">
      <c r="A9" s="21"/>
      <c r="B9" s="22" t="s">
        <v>25</v>
      </c>
      <c r="C9" s="168"/>
      <c r="D9" s="18"/>
      <c r="E9" s="18"/>
      <c r="F9" s="170"/>
      <c r="G9" s="83"/>
      <c r="H9" s="18"/>
      <c r="I9" s="18"/>
      <c r="J9" s="19"/>
      <c r="K9" s="17"/>
      <c r="L9" s="18"/>
      <c r="M9" s="18"/>
      <c r="N9" s="19"/>
      <c r="O9" s="17"/>
      <c r="P9" s="18"/>
      <c r="Q9" s="18"/>
      <c r="R9" s="19">
        <f ca="1">+Q2+R9</f>
        <v>0</v>
      </c>
      <c r="S9" s="17"/>
      <c r="T9" s="18"/>
      <c r="U9" s="18"/>
      <c r="V9" s="19">
        <f>T9-S9</f>
        <v>0</v>
      </c>
      <c r="W9" s="17"/>
      <c r="X9" s="18"/>
      <c r="Y9" s="19"/>
      <c r="Z9" s="18">
        <f>X9-W9</f>
        <v>0</v>
      </c>
      <c r="AA9" s="83"/>
      <c r="AB9" s="18"/>
      <c r="AC9" s="18"/>
      <c r="AD9" s="19">
        <f>AB9-AA9</f>
        <v>0</v>
      </c>
      <c r="AE9" s="17">
        <f t="shared" si="0"/>
        <v>0</v>
      </c>
      <c r="AF9" s="18">
        <f t="shared" si="0"/>
        <v>0</v>
      </c>
      <c r="AG9" s="18">
        <f t="shared" si="0"/>
        <v>0</v>
      </c>
      <c r="AH9" s="19">
        <f>AF9-AE9</f>
        <v>0</v>
      </c>
      <c r="AI9" s="17">
        <f t="shared" si="1"/>
        <v>0</v>
      </c>
      <c r="AJ9" s="18">
        <f t="shared" si="1"/>
        <v>0</v>
      </c>
      <c r="AK9" s="18">
        <f t="shared" si="1"/>
        <v>0</v>
      </c>
      <c r="AL9" s="19">
        <f>AJ9-AI9</f>
        <v>0</v>
      </c>
      <c r="AM9" s="17"/>
      <c r="AN9" s="18"/>
      <c r="AO9" s="18"/>
      <c r="AP9" s="20">
        <f>AN9-AM9</f>
        <v>0</v>
      </c>
      <c r="AQ9" s="17"/>
      <c r="AR9" s="18"/>
      <c r="AS9" s="18"/>
      <c r="AT9" s="20">
        <f>AR9-AQ9</f>
        <v>0</v>
      </c>
      <c r="AU9" s="17"/>
      <c r="AV9" s="18"/>
      <c r="AW9" s="18"/>
      <c r="AX9" s="20">
        <f>AV9-AU9</f>
        <v>0</v>
      </c>
      <c r="AY9" s="17">
        <f t="shared" si="2"/>
        <v>0</v>
      </c>
      <c r="AZ9" s="18">
        <f t="shared" si="2"/>
        <v>0</v>
      </c>
      <c r="BA9" s="18">
        <f t="shared" si="2"/>
        <v>0</v>
      </c>
      <c r="BB9" s="19">
        <f>AZ9-AY9</f>
        <v>0</v>
      </c>
      <c r="BC9" s="190">
        <f t="shared" si="3"/>
        <v>0</v>
      </c>
      <c r="BD9" s="84">
        <f t="shared" si="3"/>
        <v>0</v>
      </c>
      <c r="BE9" s="84">
        <f t="shared" si="3"/>
        <v>0</v>
      </c>
      <c r="BF9" s="170">
        <f>BD9-BC9</f>
        <v>0</v>
      </c>
      <c r="BG9" s="83"/>
      <c r="BH9" s="18"/>
      <c r="BI9" s="18"/>
      <c r="BJ9" s="20">
        <f>BH9-BG9</f>
        <v>0</v>
      </c>
      <c r="BK9" s="17"/>
      <c r="BL9" s="18"/>
      <c r="BM9" s="18"/>
      <c r="BN9" s="20">
        <f>BL9-BK9</f>
        <v>0</v>
      </c>
      <c r="BO9" s="17"/>
      <c r="BP9" s="18"/>
      <c r="BQ9" s="18"/>
      <c r="BR9" s="20">
        <f>BP9-BO9</f>
        <v>0</v>
      </c>
      <c r="BS9" s="17">
        <f t="shared" si="4"/>
        <v>0</v>
      </c>
      <c r="BT9" s="18">
        <f t="shared" si="4"/>
        <v>0</v>
      </c>
      <c r="BU9" s="18">
        <f t="shared" si="4"/>
        <v>0</v>
      </c>
      <c r="BV9" s="20">
        <f>BT9-BS9</f>
        <v>0</v>
      </c>
      <c r="BW9" s="17">
        <f t="shared" si="5"/>
        <v>0</v>
      </c>
      <c r="BX9" s="18">
        <f t="shared" si="5"/>
        <v>0</v>
      </c>
      <c r="BY9" s="18">
        <f t="shared" si="5"/>
        <v>0</v>
      </c>
      <c r="BZ9" s="20">
        <f>BX9-BW9</f>
        <v>0</v>
      </c>
      <c r="CA9" s="17">
        <f t="shared" si="6"/>
        <v>0</v>
      </c>
      <c r="CB9" s="18">
        <f t="shared" si="6"/>
        <v>0</v>
      </c>
      <c r="CC9" s="18">
        <f t="shared" si="6"/>
        <v>0</v>
      </c>
      <c r="CD9" s="20">
        <f>CB9-CA9</f>
        <v>0</v>
      </c>
      <c r="CF9" s="3"/>
      <c r="CJ9" s="82"/>
      <c r="CK9" s="82"/>
      <c r="CL9" s="82"/>
      <c r="CM9" s="82"/>
      <c r="CN9" s="82"/>
      <c r="CO9" s="82"/>
      <c r="CP9" s="82"/>
      <c r="CQ9" s="82"/>
    </row>
    <row r="10" spans="1:95" ht="18" customHeight="1" collapsed="1" x14ac:dyDescent="0.3">
      <c r="A10" s="215" t="s">
        <v>26</v>
      </c>
      <c r="B10" s="216"/>
      <c r="C10" s="171">
        <f t="shared" ref="C10:D10" si="7">C11+C12+C22+C23+C24+C28+C13+C14+C15+C16</f>
        <v>3907305.2500000005</v>
      </c>
      <c r="D10" s="171">
        <f t="shared" si="7"/>
        <v>3899959.9699999997</v>
      </c>
      <c r="E10" s="171">
        <f>E11+E12+E22+E23+E24+E28+E13+E14+E15+E16</f>
        <v>3370277.3</v>
      </c>
      <c r="F10" s="171">
        <f>F11+F12+F22+F23+F24+F28+F17</f>
        <v>-7345.2800000002244</v>
      </c>
      <c r="G10" s="171">
        <f>G11+G12+G22+G23+G24+G28+G14+G15+G16</f>
        <v>4036141.1600000006</v>
      </c>
      <c r="H10" s="171">
        <f>H11+H12+H22+H23+H24+H28+H14+H15+H16+H13</f>
        <v>4095784.57</v>
      </c>
      <c r="I10" s="171">
        <f>I11+I12+I22+I23+I24+I28+I14+I15+I16+I13</f>
        <v>3859269.5599999996</v>
      </c>
      <c r="J10" s="171">
        <f>J11+J12+J22+J23+J24+J28+J17</f>
        <v>68316.500000000029</v>
      </c>
      <c r="K10" s="171">
        <f>K11+K12+K22+K23+K24+K28+K14+K15+K16</f>
        <v>4036141.1600000006</v>
      </c>
      <c r="L10" s="171">
        <f>L11+L12+L22+L23+L24+L28+L14+L15+L16</f>
        <v>4111989.2600000002</v>
      </c>
      <c r="M10" s="171">
        <f>M11+M12+M22+M23+M24+M28+M14+M15+M16+M13</f>
        <v>4083914.1700000009</v>
      </c>
      <c r="N10" s="171">
        <f>N11+N12+N22+N23+N24+N28+N17</f>
        <v>84521.400000000009</v>
      </c>
      <c r="O10" s="171">
        <f>O11+O12+O22+O23+O24+O28+O13+O14+O15+O16</f>
        <v>11979587.57</v>
      </c>
      <c r="P10" s="171">
        <f>P11+P12+P22+P23+P24+P28+P13+P14+P15+P16</f>
        <v>12107733.799999999</v>
      </c>
      <c r="Q10" s="171">
        <f>Q11+Q12+Q22+Q23+Q24+Q28+Q13+Q14+Q15+Q16</f>
        <v>11313461.030000001</v>
      </c>
      <c r="R10" s="171">
        <f>R11+R12+R22+R23+R24+R28+R17</f>
        <v>145492.61999999906</v>
      </c>
      <c r="S10" s="171">
        <f>S11+S12+S14+S15+S16+S22+S23+S24+S28+S13</f>
        <v>4036141.1600000006</v>
      </c>
      <c r="T10" s="171">
        <f t="shared" ref="T10" si="8">T11+T12+T14+T15+T16+T22+T23+T24+T28+T13</f>
        <v>4042689.0800000005</v>
      </c>
      <c r="U10" s="171">
        <f>U11+U12+U14+U15+U16+U22+U23+U24+U28+U13</f>
        <v>3881354.37</v>
      </c>
      <c r="V10" s="171">
        <f>V11+V12+V22+V23+V24+V28+V17</f>
        <v>15220.770000000215</v>
      </c>
      <c r="W10" s="171">
        <f>W11+W12+W14+W15+W16+W22+W23+W24+W28</f>
        <v>4036141.1600000006</v>
      </c>
      <c r="X10" s="171">
        <f>X11+X12+X14+X15+X16+X22+X23+X24+X28</f>
        <v>4016915.5400000005</v>
      </c>
      <c r="Y10" s="171">
        <f>Y11+Y12+Y14+Y15+Y16+Y22+Y23+Y24+Y28+Y13</f>
        <v>3764154.33</v>
      </c>
      <c r="Z10" s="171">
        <f>Z11+Z12+Z22+Z23+Z24+Z28+Z17</f>
        <v>-10553.600000000009</v>
      </c>
      <c r="AA10" s="171">
        <f>AA11+AA12+AA14+AA15+AA16+AA22+AA23+AA24+AA28</f>
        <v>4036141.1600000006</v>
      </c>
      <c r="AB10" s="171">
        <f>AB11+AB12+AB14+AB15+AB16+AB22+AB23+AB24+AB28+AB13</f>
        <v>4051582.2299999991</v>
      </c>
      <c r="AC10" s="171">
        <f>AC11+AC12+AC14+AC15+AC16+AC22+AC23+AC24+AC28+AC13</f>
        <v>4052701.99</v>
      </c>
      <c r="AD10" s="171">
        <f>AD11+AD12+AD22+AD23+AD24+AD28+AD17</f>
        <v>24113.25999999974</v>
      </c>
      <c r="AE10" s="171">
        <f t="shared" ref="AE10:AF10" si="9">AE11+AE12+AE22+AE23+AE24+AE28+AE13+AE14+AE15+AE16</f>
        <v>12108423.48</v>
      </c>
      <c r="AF10" s="171">
        <f t="shared" si="9"/>
        <v>12111186.85</v>
      </c>
      <c r="AG10" s="171">
        <f>AG11+AG12+AG22+AG23+AG24+AG28+AG13+AG14+AG15+AG16</f>
        <v>11698210.689999999</v>
      </c>
      <c r="AH10" s="171">
        <f>AH11+AH12+AH22+AH23+AH24+AH28+AH17</f>
        <v>28780.429999999447</v>
      </c>
      <c r="AI10" s="171">
        <f t="shared" ref="AI10:AJ10" si="10">AI11+AI12+AI22+AI23+AI24+AI28+AI13+AI14+AI15+AI16</f>
        <v>24088011.050000004</v>
      </c>
      <c r="AJ10" s="171">
        <f t="shared" si="10"/>
        <v>24218920.650000002</v>
      </c>
      <c r="AK10" s="171">
        <f>AK11+AK12+AK22+AK23+AK24+AK28+AK13+AK14+AK15+AK16</f>
        <v>23011671.719999995</v>
      </c>
      <c r="AL10" s="171">
        <f>AL11+AL12+AL22+AL23+AL24+AL28+AL17</f>
        <v>174273.04999999766</v>
      </c>
      <c r="AM10" s="171">
        <f>AM12+AM13+AM14+AM15+AM16+AM11+AM22+AM23+AM24+AM28</f>
        <v>4052466.1500000004</v>
      </c>
      <c r="AN10" s="171">
        <f>AN11+AN12+AN13+AN14+AN15+AN16+AN21</f>
        <v>3717365.1100000003</v>
      </c>
      <c r="AO10" s="171">
        <f>AO11+AO12+AO13+AO14+AO15+AO16+AO21+AO22+AO23+AO24+AO28</f>
        <v>4184133.3600000003</v>
      </c>
      <c r="AP10" s="171">
        <f>AP11+AP12+AP22+AP23+AP24+AP28+AP17</f>
        <v>35382.919999999838</v>
      </c>
      <c r="AQ10" s="171">
        <f>AQ12+AQ13+AQ14+AQ15+AQ16+AQ11+AQ22+AQ23+AQ24+AQ28</f>
        <v>4052466.1500000004</v>
      </c>
      <c r="AR10" s="171">
        <f>AR11+AR12+AR13+AR14+AR15+AR16+AR21+AR22+AR23+AR24+AR28</f>
        <v>4030159.1100000003</v>
      </c>
      <c r="AS10" s="171">
        <f>AS11+AS12+AS13+AS14+AS15+AS16+AS21+AS22+AS23+AS24+AS28</f>
        <v>4060529.44</v>
      </c>
      <c r="AT10" s="171">
        <f>AT11+AT12+AT22+AT23+AT24+AT28+AT17</f>
        <v>-13495.760000000042</v>
      </c>
      <c r="AU10" s="171">
        <f>AU12+AU13+AU14+AU15+AU16+AU11+AU22+AU23+AU24+AU28</f>
        <v>4052466.1500000004</v>
      </c>
      <c r="AV10" s="171">
        <f>AV11+AV12+AV13+AV14+AV15+AV16+AV22+AV23+AV24+AV28</f>
        <v>4055377.85</v>
      </c>
      <c r="AW10" s="171">
        <f>AW11+AW12+AW13+AW14+AW15+AW16+AW22+AW23+AW24+AW28</f>
        <v>4100190.9099999997</v>
      </c>
      <c r="AX10" s="171">
        <f>AX11+AX12+AX22+AX23+AX24+AX28+AX17</f>
        <v>11721.489999999798</v>
      </c>
      <c r="AY10" s="171">
        <f>AY12+AY13+AY14+AY15+AY16+AY11+AY22+AY23+AY24+AY28</f>
        <v>12157398.450000001</v>
      </c>
      <c r="AZ10" s="171">
        <f>AZ12+AZ13+AZ14+AZ15+AZ16+AZ11+AZ22+AZ23+AZ24+AZ28</f>
        <v>12164574.569999998</v>
      </c>
      <c r="BA10" s="171">
        <f>BA12+BA13+BA14+BA15+BA16+BA11+BA22+BA23+BA24+BA28</f>
        <v>12344853.709999999</v>
      </c>
      <c r="BB10" s="171">
        <f>BB11+BB12+BB22+BB23+BB24+BB28+BB17</f>
        <v>33608.649999999601</v>
      </c>
      <c r="BC10" s="171">
        <f>BC11+BC22+BC23+BC24+BC28</f>
        <v>36245409.5</v>
      </c>
      <c r="BD10" s="171">
        <f>BD11+BD12+BD13+BD14+BD15+BD16+BD22+BD23+BD24+BD28</f>
        <v>36383495.219999999</v>
      </c>
      <c r="BE10" s="171">
        <f>BE11+BE12+BE13+BE14+BE15+BE16+BE22+BE23+BE24+BE28</f>
        <v>35356525.43</v>
      </c>
      <c r="BF10" s="171">
        <f>BF11+BF12+BF22+BF23+BF24+BF28+BF17</f>
        <v>207881.69999999797</v>
      </c>
      <c r="BG10" s="171">
        <f>BG12+BG13+BG14+BG15+BG16+BG11+BG22+BG23+BG24+BG28</f>
        <v>4052466.1500000004</v>
      </c>
      <c r="BH10" s="171">
        <f>BH11+BH22+BH23+BH24+BH28+BH12+BH13+BH14+BH15+BH16</f>
        <v>4065716.7300000004</v>
      </c>
      <c r="BI10" s="171">
        <f>BI11+BI22+BI23+BI24+BI28+BI12+BI13+BI14+BI15+BI16</f>
        <v>3994990.0900000008</v>
      </c>
      <c r="BJ10" s="171">
        <f t="shared" ref="BJ10:BZ10" si="11">BJ11+BJ12+BJ22+BJ23+BJ24+BJ28+BJ17</f>
        <v>22060.899999999714</v>
      </c>
      <c r="BK10" s="171">
        <f>BK12+BK13+BK14+BK15+BK16+BK11+BK22+BK23+BK24+BK28</f>
        <v>4052466.1500000004</v>
      </c>
      <c r="BL10" s="171">
        <f>BL11+BL12+BL13+BL14+BL15+BL16+BL22+BL23+BL24+BL28</f>
        <v>4040504</v>
      </c>
      <c r="BM10" s="171">
        <f>BM11+BM12+BM13+BM14+BM15+BM16+BM22+BM23+BM24+BM28</f>
        <v>3841780.07</v>
      </c>
      <c r="BN10" s="171">
        <f t="shared" si="11"/>
        <v>-3151.1700000000747</v>
      </c>
      <c r="BO10" s="171">
        <f>BO12+BO13+BO14+BO15+BO16+BO11+BO22+BO23+BO24+BO28</f>
        <v>4052466.1500000004</v>
      </c>
      <c r="BP10" s="171">
        <f>BP11+BP12+BP13+BP14+BP15+BP16+BP22+BP23+BP24+BP28</f>
        <v>4037933.3299999991</v>
      </c>
      <c r="BQ10" s="171">
        <f>BQ11+BQ12+BQ13+BQ14+BQ15+BQ16+BQ22+BQ23+BQ24+BQ28</f>
        <v>4436156.8600000003</v>
      </c>
      <c r="BR10" s="171">
        <f t="shared" si="11"/>
        <v>-5721.3300000001946</v>
      </c>
      <c r="BS10" s="171">
        <f t="shared" ref="BS10:BT10" si="12">BS11+BS12+BS13+BS14+BS15+BS16+BS22+BS23+BS24+BS28</f>
        <v>12157398.450000001</v>
      </c>
      <c r="BT10" s="171">
        <f t="shared" si="12"/>
        <v>12144154.060000001</v>
      </c>
      <c r="BU10" s="171">
        <f>BU11+BU12+BU13+BU14+BU15+BU16+BU22+BU23+BU24+BU28</f>
        <v>12272927.02</v>
      </c>
      <c r="BV10" s="171">
        <f t="shared" si="11"/>
        <v>13188.399999997928</v>
      </c>
      <c r="BW10" s="171">
        <f t="shared" ref="BW10:BX10" si="13">BW11+BW12+BW13+BW14+BW15+BW16+BW22+BW23+BW24+BW28</f>
        <v>24314796.900000002</v>
      </c>
      <c r="BX10" s="171">
        <f t="shared" si="13"/>
        <v>24308728.629999999</v>
      </c>
      <c r="BY10" s="171">
        <f>BY11+BY12+BY13+BY14+BY15+BY16+BY22+BY23+BY24+BY28</f>
        <v>24617780.729999997</v>
      </c>
      <c r="BZ10" s="171">
        <f t="shared" si="11"/>
        <v>46797.049999997238</v>
      </c>
      <c r="CA10" s="171">
        <f t="shared" ref="CA10:CC10" si="14">CA11+CA12+CA13+CA14+CA15+CA16+CA22+CA23+CA24+CA28</f>
        <v>48402807.950000003</v>
      </c>
      <c r="CB10" s="171">
        <f t="shared" si="14"/>
        <v>48500374.959999993</v>
      </c>
      <c r="CC10" s="171">
        <f t="shared" si="14"/>
        <v>47629452.449999988</v>
      </c>
      <c r="CD10" s="171">
        <f>CB10-CA10</f>
        <v>97567.009999990463</v>
      </c>
      <c r="CF10" s="3"/>
      <c r="CJ10" s="87">
        <f>CJ11+CJ22+CJ23+CJ24+CJ28</f>
        <v>12157398.450000001</v>
      </c>
      <c r="CK10" s="87">
        <f>CK11+CK22+CK23+CK24+CK28</f>
        <v>12165767.169999996</v>
      </c>
      <c r="CL10" s="87">
        <f>CL11+CL22+CL23+CL24+CL28</f>
        <v>12114998.539999999</v>
      </c>
      <c r="CM10" s="87">
        <f>CM11+CM22+CM23+CM24+CM28</f>
        <v>8368.7199999994373</v>
      </c>
      <c r="CN10" s="87">
        <f t="shared" ref="CN10:CQ33" si="15">O10+AE10+AY10+CJ10</f>
        <v>48402807.950000003</v>
      </c>
      <c r="CO10" s="87">
        <f t="shared" si="15"/>
        <v>48549262.389999993</v>
      </c>
      <c r="CP10" s="87">
        <f t="shared" si="15"/>
        <v>47471523.969999999</v>
      </c>
      <c r="CQ10" s="87">
        <f t="shared" si="15"/>
        <v>216250.41999999754</v>
      </c>
    </row>
    <row r="11" spans="1:95" ht="16.5" x14ac:dyDescent="0.3">
      <c r="A11" s="9">
        <v>1</v>
      </c>
      <c r="B11" s="24" t="s">
        <v>27</v>
      </c>
      <c r="C11" s="25">
        <f t="shared" ref="C11:D11" si="16">C18+C19+C20+C17</f>
        <v>3318140.31</v>
      </c>
      <c r="D11" s="25">
        <f t="shared" si="16"/>
        <v>3318162.3699999996</v>
      </c>
      <c r="E11" s="25">
        <f>E18+E19+E20+E17</f>
        <v>2821167.1100000003</v>
      </c>
      <c r="F11" s="173">
        <f>F18+F19+F20</f>
        <v>-0.83000000024912879</v>
      </c>
      <c r="G11" s="89">
        <f>G18+G19+G20+G17</f>
        <v>3318140.31</v>
      </c>
      <c r="H11" s="25">
        <f>H18+H19+H20+H17</f>
        <v>3318149.38</v>
      </c>
      <c r="I11" s="25">
        <f>I18+I19+I20+I17</f>
        <v>3190994.65</v>
      </c>
      <c r="J11" s="25">
        <f>J18+J19+J20</f>
        <v>-6.0699999999778811</v>
      </c>
      <c r="K11" s="25">
        <f>K18+K19+K20+K17</f>
        <v>3318140.31</v>
      </c>
      <c r="L11" s="25">
        <f>L18+L19+L20+L17</f>
        <v>3318138.6</v>
      </c>
      <c r="M11" s="25">
        <f>M18+M19+M20+M17+M21</f>
        <v>3339554.6000000006</v>
      </c>
      <c r="N11" s="25">
        <f>N18+N19+N20</f>
        <v>-15.5</v>
      </c>
      <c r="O11" s="25">
        <f t="shared" ref="O11:O22" si="17">C11+G11+K11</f>
        <v>9954420.9299999997</v>
      </c>
      <c r="P11" s="25">
        <f>P18+P19+P20+P17</f>
        <v>9954450.3499999996</v>
      </c>
      <c r="Q11" s="25">
        <f>Q18+Q19+Q20+Q17+Q21</f>
        <v>9351716.3599999994</v>
      </c>
      <c r="R11" s="25">
        <f>R18+R19+R20</f>
        <v>-22.400000000896398</v>
      </c>
      <c r="S11" s="25">
        <f>S18+S19+S20+S17</f>
        <v>3318140.31</v>
      </c>
      <c r="T11" s="25">
        <f t="shared" ref="T11" si="18">T18+T19+T20+T17</f>
        <v>3318151.8200000003</v>
      </c>
      <c r="U11" s="25">
        <f>U18+U19+U20+U17</f>
        <v>3265065.1100000003</v>
      </c>
      <c r="V11" s="25">
        <f>V18+V19+V20</f>
        <v>-2.279999999795109</v>
      </c>
      <c r="W11" s="25">
        <f>W18+W19+W20+W17</f>
        <v>3318140.31</v>
      </c>
      <c r="X11" s="88">
        <f>X18+X19+X20+X17</f>
        <v>3318176.97</v>
      </c>
      <c r="Y11" s="88">
        <f>Y18+Y19+Y20+Y17+Y21</f>
        <v>3050070.8499999996</v>
      </c>
      <c r="Z11" s="31">
        <f>Z18+Z19+Z20</f>
        <v>22.869999999995343</v>
      </c>
      <c r="AA11" s="89">
        <f>AA18+AA19+AA20+AA17</f>
        <v>3318140.31</v>
      </c>
      <c r="AB11" s="25">
        <f>AB18+AB19+AB20+AB17+AB21</f>
        <v>3318180.7499999995</v>
      </c>
      <c r="AC11" s="25">
        <f>AC18+AC19+AC20+AC17+AC21</f>
        <v>3329010.5000000005</v>
      </c>
      <c r="AD11" s="25">
        <f>AD18+AD19+AD20</f>
        <v>26.649999999761349</v>
      </c>
      <c r="AE11" s="25">
        <f>AE18+AE19+AE20+AE17</f>
        <v>9954420.9300000016</v>
      </c>
      <c r="AF11" s="25">
        <f>AF18+AF19+AF20+AF17</f>
        <v>9954509.5399999991</v>
      </c>
      <c r="AG11" s="25">
        <f>AG18+AG19+AG20+AG17+AG21</f>
        <v>9644146.4600000009</v>
      </c>
      <c r="AH11" s="25">
        <f>AH18+AH19+AH20</f>
        <v>47.239999999583233</v>
      </c>
      <c r="AI11" s="25">
        <f>AI18+AI19+AI20+AI17</f>
        <v>19908841.860000003</v>
      </c>
      <c r="AJ11" s="25">
        <f>AJ18+AJ19+AJ20+AJ17</f>
        <v>19908959.890000001</v>
      </c>
      <c r="AK11" s="25">
        <f>AK18+AK19+AK20+AK17+AK21</f>
        <v>18995862.82</v>
      </c>
      <c r="AL11" s="25">
        <f>AL18+AL19+AL20</f>
        <v>24.839999997755513</v>
      </c>
      <c r="AM11" s="25">
        <f>AM18+AM19+AM20+AM17</f>
        <v>3318140.31</v>
      </c>
      <c r="AN11" s="90">
        <f>AN17+AN18+AN19+AN20</f>
        <v>3318242.04</v>
      </c>
      <c r="AO11" s="90">
        <f>AO17+AO18+AO19+AO20</f>
        <v>3401608.73</v>
      </c>
      <c r="AP11" s="25">
        <f>AP18+AP19+AP20</f>
        <v>87.939999999827705</v>
      </c>
      <c r="AQ11" s="25">
        <f>AQ18+AQ19+AQ20+AQ17</f>
        <v>3318140.31</v>
      </c>
      <c r="AR11" s="25">
        <f>AR17+AR18+AR19+AR20</f>
        <v>3318261.62</v>
      </c>
      <c r="AS11" s="25">
        <f>AS17+AS18+AS19+AS20</f>
        <v>3288277.66</v>
      </c>
      <c r="AT11" s="25">
        <f>AT18+AT19+AT20</f>
        <v>110.54999999995925</v>
      </c>
      <c r="AU11" s="25">
        <f>AU18+AU19+AU20+AU17</f>
        <v>3318140.31</v>
      </c>
      <c r="AV11" s="25">
        <f>AV17+AV18+AV19+AV20</f>
        <v>3318300.47</v>
      </c>
      <c r="AW11" s="25">
        <f>AW17+AW18+AW19+AW20+AW21</f>
        <v>3377851.0999999996</v>
      </c>
      <c r="AX11" s="25">
        <f>AX18+AX19+AX20</f>
        <v>149.39999999981956</v>
      </c>
      <c r="AY11" s="25">
        <f>AY18+AY19+AY20+AY17</f>
        <v>9954420.9300000016</v>
      </c>
      <c r="AZ11" s="25">
        <f>AZ18+AZ19+AZ20+AZ17+AZ21</f>
        <v>9954804.129999999</v>
      </c>
      <c r="BA11" s="25">
        <f>BA18+BA19+BA20+BA17+BA21</f>
        <v>10118087.939999999</v>
      </c>
      <c r="BB11" s="88">
        <f>BB18+BB19+BB20</f>
        <v>347.88999999972293</v>
      </c>
      <c r="BC11" s="25">
        <f>BC12+BC13+BC14+BC15+BC16+BC17+BC18+BC19+BC20</f>
        <v>33459246.02</v>
      </c>
      <c r="BD11" s="25">
        <f>BD17+BD18+BD19+BD20+BD21</f>
        <v>29863764.02</v>
      </c>
      <c r="BE11" s="25">
        <f>BE17+BE18+BE19+BE20+BE21</f>
        <v>29113950.760000005</v>
      </c>
      <c r="BF11" s="173">
        <f>BF18+BF19+BF20</f>
        <v>372.72999999811873</v>
      </c>
      <c r="BG11" s="89">
        <f>BG18+BG19+BG20+BG17</f>
        <v>3318140.31</v>
      </c>
      <c r="BH11" s="25">
        <f>BH17+BH18+BH19+BH20+BH21</f>
        <v>3319630.48</v>
      </c>
      <c r="BI11" s="25">
        <f>BI17+BI18+BI19+BI20+BI21</f>
        <v>3317642.54</v>
      </c>
      <c r="BJ11" s="25">
        <f>BJ18+BJ19+BJ20</f>
        <v>1492.2999999997264</v>
      </c>
      <c r="BK11" s="25">
        <f>BK18+BK19+BK20+BK17</f>
        <v>3318140.31</v>
      </c>
      <c r="BL11" s="25">
        <f>BL17+BL18+BL19+BL20+BL21</f>
        <v>3318263.5</v>
      </c>
      <c r="BM11" s="25">
        <f>BM17+BM18+BM19+BM20+BM21</f>
        <v>3171981.86</v>
      </c>
      <c r="BN11" s="25">
        <f>BN18+BN19+BN20</f>
        <v>125.31999999994878</v>
      </c>
      <c r="BO11" s="25">
        <f>BO18+BO19+BO20+BO17</f>
        <v>3318140.31</v>
      </c>
      <c r="BP11" s="25">
        <f>BP17+BP18+BP19+BP20+BP21</f>
        <v>3318264.5199999996</v>
      </c>
      <c r="BQ11" s="25">
        <f>BQ17+BQ18+BQ19+BQ20+BQ21</f>
        <v>3600511.77</v>
      </c>
      <c r="BR11" s="25">
        <f>BR18+BR19+BR20</f>
        <v>124.06999999983236</v>
      </c>
      <c r="BS11" s="25">
        <f>BS18+BS19+BS20+BS17</f>
        <v>9954420.9300000016</v>
      </c>
      <c r="BT11" s="25">
        <f>BT17+BT18+BT19+BT20+BT21</f>
        <v>9956158.4999999981</v>
      </c>
      <c r="BU11" s="25">
        <f>BU17+BU18+BU19+BU20+BU21</f>
        <v>10090136.17</v>
      </c>
      <c r="BV11" s="25">
        <f>BV18+BV19+BV20</f>
        <v>1741.6899999980815</v>
      </c>
      <c r="BW11" s="25">
        <f>BW18+BW19+BW20+BW17</f>
        <v>19908841.860000003</v>
      </c>
      <c r="BX11" s="25">
        <f>BX17+BX18+BX19+BX20+BX21</f>
        <v>19910962.629999999</v>
      </c>
      <c r="BY11" s="25">
        <f>BY17+BY18+BY19+BY20+BY21</f>
        <v>20208224.109999999</v>
      </c>
      <c r="BZ11" s="25">
        <f>BZ18+BZ19+BZ20</f>
        <v>2089.5799999976298</v>
      </c>
      <c r="CA11" s="25">
        <f>CA18+CA19+CA20+CA17+CA21</f>
        <v>39817683.720000006</v>
      </c>
      <c r="CB11" s="25">
        <f t="shared" ref="CB11:CC11" si="19">CB18+CB19+CB20+CB17+CB21</f>
        <v>39819922.519999996</v>
      </c>
      <c r="CC11" s="25">
        <f t="shared" si="19"/>
        <v>39204086.93</v>
      </c>
      <c r="CD11" s="25">
        <f>CB11-CA11</f>
        <v>2238.7999999895692</v>
      </c>
      <c r="CF11" s="3"/>
      <c r="CJ11" s="209">
        <f>SUM(CJ12:CJ20)</f>
        <v>11228677.290000001</v>
      </c>
      <c r="CK11" s="209">
        <f>SUM(CK12:CK20)</f>
        <v>11153534.599999998</v>
      </c>
      <c r="CL11" s="209">
        <f>SUM(CL12:CL20)</f>
        <v>11101563.57</v>
      </c>
      <c r="CM11" s="209">
        <f>SUM(CM12:CM20)</f>
        <v>-75142.690000000555</v>
      </c>
      <c r="CN11" s="209">
        <f t="shared" si="15"/>
        <v>41091940.079999998</v>
      </c>
      <c r="CO11" s="209">
        <f t="shared" si="15"/>
        <v>41017298.619999997</v>
      </c>
      <c r="CP11" s="209">
        <f t="shared" si="15"/>
        <v>40215514.329999998</v>
      </c>
      <c r="CQ11" s="209">
        <f t="shared" si="15"/>
        <v>-74769.960000002146</v>
      </c>
    </row>
    <row r="12" spans="1:95" ht="16.5" x14ac:dyDescent="0.3">
      <c r="A12" s="9"/>
      <c r="B12" s="28" t="s">
        <v>28</v>
      </c>
      <c r="C12" s="174">
        <v>279591.21999999997</v>
      </c>
      <c r="D12" s="18">
        <f>266528.71+15981.01</f>
        <v>282509.72000000003</v>
      </c>
      <c r="E12" s="43">
        <v>257008.51</v>
      </c>
      <c r="F12" s="170">
        <f>D12-C12</f>
        <v>2918.5000000000582</v>
      </c>
      <c r="G12" s="83">
        <v>279591.21999999997</v>
      </c>
      <c r="H12" s="18">
        <v>266527.38</v>
      </c>
      <c r="I12" s="43">
        <v>259786.49</v>
      </c>
      <c r="J12" s="19">
        <f>H12-G12</f>
        <v>-13063.839999999967</v>
      </c>
      <c r="K12" s="17">
        <v>279591.21999999997</v>
      </c>
      <c r="L12" s="18">
        <v>266526.26</v>
      </c>
      <c r="M12" s="43">
        <v>259589</v>
      </c>
      <c r="N12" s="25">
        <f>L12-K12</f>
        <v>-13064.959999999963</v>
      </c>
      <c r="O12" s="17">
        <f t="shared" si="17"/>
        <v>838773.65999999992</v>
      </c>
      <c r="P12" s="43">
        <f t="shared" ref="P12:Q27" si="20">L12+H12+D12</f>
        <v>815563.3600000001</v>
      </c>
      <c r="Q12" s="43">
        <f t="shared" si="20"/>
        <v>776384</v>
      </c>
      <c r="R12" s="19">
        <f>P12-O12</f>
        <v>-23210.299999999814</v>
      </c>
      <c r="S12" s="17">
        <v>279591.21999999997</v>
      </c>
      <c r="T12" s="18">
        <v>266527.39</v>
      </c>
      <c r="U12" s="43">
        <v>266095.15999999997</v>
      </c>
      <c r="V12" s="19">
        <f>T12-S12</f>
        <v>-13063.829999999958</v>
      </c>
      <c r="W12" s="17">
        <v>279591.21999999997</v>
      </c>
      <c r="X12" s="18">
        <v>266528.8</v>
      </c>
      <c r="Y12" s="37">
        <v>254244.56</v>
      </c>
      <c r="Z12" s="18">
        <f>X12-W12</f>
        <v>-13062.419999999984</v>
      </c>
      <c r="AA12" s="17">
        <v>279591.21999999997</v>
      </c>
      <c r="AB12" s="18">
        <v>266529.49</v>
      </c>
      <c r="AC12" s="199">
        <v>269313.87</v>
      </c>
      <c r="AD12" s="19">
        <f>AB12-AA12</f>
        <v>-13061.729999999981</v>
      </c>
      <c r="AE12" s="17">
        <f t="shared" ref="AE12:AG27" si="21">S12+W12+AA12</f>
        <v>838773.65999999992</v>
      </c>
      <c r="AF12" s="18">
        <f t="shared" si="21"/>
        <v>799585.67999999993</v>
      </c>
      <c r="AG12" s="18">
        <f t="shared" si="21"/>
        <v>789653.59</v>
      </c>
      <c r="AH12" s="19">
        <f>AF12-AE12</f>
        <v>-39187.979999999981</v>
      </c>
      <c r="AI12" s="17">
        <f t="shared" ref="AI12:AK21" si="22">O12+AE12</f>
        <v>1677547.3199999998</v>
      </c>
      <c r="AJ12" s="18">
        <f t="shared" si="22"/>
        <v>1615149.04</v>
      </c>
      <c r="AK12" s="18">
        <f t="shared" si="22"/>
        <v>1566037.5899999999</v>
      </c>
      <c r="AL12" s="19">
        <f>AJ12-AI12</f>
        <v>-62398.279999999795</v>
      </c>
      <c r="AM12" s="17">
        <v>293995.62</v>
      </c>
      <c r="AN12" s="18">
        <v>277178.03000000003</v>
      </c>
      <c r="AO12" s="43">
        <v>274733.98</v>
      </c>
      <c r="AP12" s="20">
        <f>AN12-AM12</f>
        <v>-16817.589999999967</v>
      </c>
      <c r="AQ12" s="17">
        <v>293995.62</v>
      </c>
      <c r="AR12" s="18">
        <v>277180.13</v>
      </c>
      <c r="AS12" s="44">
        <f>272458.45+2142.31</f>
        <v>274600.76</v>
      </c>
      <c r="AT12" s="20">
        <f>AR12-AQ12</f>
        <v>-16815.489999999991</v>
      </c>
      <c r="AU12" s="17">
        <v>293995.62</v>
      </c>
      <c r="AV12" s="18">
        <v>247183.34</v>
      </c>
      <c r="AW12" s="43">
        <v>279363.90999999997</v>
      </c>
      <c r="AX12" s="20">
        <f>AV12-AU12</f>
        <v>-46812.28</v>
      </c>
      <c r="AY12" s="17">
        <f t="shared" ref="AY12:BA23" si="23">AM12+AQ12+AU12</f>
        <v>881986.86</v>
      </c>
      <c r="AZ12" s="18">
        <f t="shared" si="23"/>
        <v>801541.5</v>
      </c>
      <c r="BA12" s="18">
        <f t="shared" si="23"/>
        <v>828698.64999999991</v>
      </c>
      <c r="BB12" s="19">
        <f>AZ12-AY12</f>
        <v>-80445.359999999986</v>
      </c>
      <c r="BC12" s="190">
        <f t="shared" ref="BC12:BE27" si="24">(AI12+AY12)</f>
        <v>2559534.1799999997</v>
      </c>
      <c r="BD12" s="84">
        <f t="shared" si="24"/>
        <v>2416690.54</v>
      </c>
      <c r="BE12" s="84">
        <f t="shared" si="24"/>
        <v>2394736.2399999998</v>
      </c>
      <c r="BF12" s="170">
        <f>BD12-BC12</f>
        <v>-142843.63999999966</v>
      </c>
      <c r="BG12" s="17">
        <v>293995.62</v>
      </c>
      <c r="BH12" s="18">
        <v>277181.18</v>
      </c>
      <c r="BI12" s="43">
        <f>272867.03+1447.11</f>
        <v>274314.14</v>
      </c>
      <c r="BJ12" s="41">
        <f>BH12-BG12</f>
        <v>-16814.440000000002</v>
      </c>
      <c r="BK12" s="17">
        <v>293995.62</v>
      </c>
      <c r="BL12" s="43">
        <f>277179.41</f>
        <v>277179.40999999997</v>
      </c>
      <c r="BM12" s="43">
        <f>266701.1+1429.22+344.39</f>
        <v>268474.70999999996</v>
      </c>
      <c r="BN12" s="41">
        <f>BL12-BK12</f>
        <v>-16816.210000000021</v>
      </c>
      <c r="BO12" s="17">
        <v>293995.62</v>
      </c>
      <c r="BP12" s="43">
        <v>277178.8</v>
      </c>
      <c r="BQ12" s="43">
        <v>289038.5</v>
      </c>
      <c r="BR12" s="41">
        <f>BP12-BO12</f>
        <v>-16816.820000000007</v>
      </c>
      <c r="BS12" s="17">
        <f t="shared" ref="BS12:BU27" si="25">BG12+BK12+BO12</f>
        <v>881986.86</v>
      </c>
      <c r="BT12" s="18">
        <f t="shared" si="25"/>
        <v>831539.3899999999</v>
      </c>
      <c r="BU12" s="18">
        <f t="shared" si="25"/>
        <v>831827.35</v>
      </c>
      <c r="BV12" s="20">
        <f>BT12-BS12</f>
        <v>-50447.470000000088</v>
      </c>
      <c r="BW12" s="17">
        <f t="shared" ref="BW12:BY27" si="26">BS12+AY12</f>
        <v>1763973.72</v>
      </c>
      <c r="BX12" s="18">
        <f t="shared" si="26"/>
        <v>1633080.89</v>
      </c>
      <c r="BY12" s="18">
        <f t="shared" si="26"/>
        <v>1660526</v>
      </c>
      <c r="BZ12" s="20">
        <f>BX12-BW12</f>
        <v>-130892.83000000007</v>
      </c>
      <c r="CA12" s="17">
        <f t="shared" ref="CA12:CC23" si="27">BW12+AI12</f>
        <v>3441521.04</v>
      </c>
      <c r="CB12" s="18">
        <f t="shared" si="27"/>
        <v>3248229.9299999997</v>
      </c>
      <c r="CC12" s="18">
        <f t="shared" si="27"/>
        <v>3226563.59</v>
      </c>
      <c r="CD12" s="20">
        <f>CB12-CA12</f>
        <v>-193291.11000000034</v>
      </c>
      <c r="CF12" s="3"/>
      <c r="CJ12" s="91">
        <f t="shared" ref="CJ12:CM23" si="28">BG12+BK12+BO12</f>
        <v>881986.86</v>
      </c>
      <c r="CK12" s="91">
        <f t="shared" si="28"/>
        <v>831539.3899999999</v>
      </c>
      <c r="CL12" s="91">
        <f t="shared" si="28"/>
        <v>831827.35</v>
      </c>
      <c r="CM12" s="91">
        <f t="shared" si="28"/>
        <v>-50447.47000000003</v>
      </c>
      <c r="CN12" s="91">
        <f t="shared" si="15"/>
        <v>3441521.0399999996</v>
      </c>
      <c r="CO12" s="91">
        <f t="shared" si="15"/>
        <v>3248229.9299999997</v>
      </c>
      <c r="CP12" s="91">
        <f t="shared" si="15"/>
        <v>3226563.59</v>
      </c>
      <c r="CQ12" s="91">
        <f t="shared" si="15"/>
        <v>-193291.10999999981</v>
      </c>
    </row>
    <row r="13" spans="1:95" ht="15.75" customHeight="1" x14ac:dyDescent="0.3">
      <c r="A13" s="9"/>
      <c r="B13" s="26" t="s">
        <v>29</v>
      </c>
      <c r="C13" s="174"/>
      <c r="D13" s="18"/>
      <c r="E13" s="43">
        <v>6057.27</v>
      </c>
      <c r="F13" s="170">
        <f>D13-C13</f>
        <v>0</v>
      </c>
      <c r="G13" s="83"/>
      <c r="H13" s="18"/>
      <c r="I13" s="43">
        <v>2304.5100000000002</v>
      </c>
      <c r="J13" s="19">
        <f>H13-G13</f>
        <v>0</v>
      </c>
      <c r="K13" s="17"/>
      <c r="L13" s="18"/>
      <c r="M13" s="43">
        <v>3962.67</v>
      </c>
      <c r="N13" s="25">
        <f t="shared" ref="N13:N28" si="29">L13-K13</f>
        <v>0</v>
      </c>
      <c r="O13" s="17">
        <f t="shared" si="17"/>
        <v>0</v>
      </c>
      <c r="P13" s="43">
        <f t="shared" si="20"/>
        <v>0</v>
      </c>
      <c r="Q13" s="43">
        <f t="shared" si="20"/>
        <v>12324.45</v>
      </c>
      <c r="R13" s="19">
        <f>P13-O13</f>
        <v>0</v>
      </c>
      <c r="S13" s="17"/>
      <c r="T13" s="18"/>
      <c r="U13" s="43">
        <v>3924.27</v>
      </c>
      <c r="V13" s="19">
        <f>T13-S13</f>
        <v>0</v>
      </c>
      <c r="W13" s="17"/>
      <c r="X13" s="18"/>
      <c r="Y13" s="37">
        <v>1558.87</v>
      </c>
      <c r="Z13" s="18">
        <f>X13-W13</f>
        <v>0</v>
      </c>
      <c r="AA13" s="17"/>
      <c r="AB13" s="18"/>
      <c r="AC13" s="199">
        <v>2957.38</v>
      </c>
      <c r="AD13" s="19">
        <f t="shared" ref="AD13:AD51" si="30">AB13-AA13</f>
        <v>0</v>
      </c>
      <c r="AE13" s="17">
        <f t="shared" si="21"/>
        <v>0</v>
      </c>
      <c r="AF13" s="18">
        <f t="shared" si="21"/>
        <v>0</v>
      </c>
      <c r="AG13" s="18">
        <f t="shared" si="21"/>
        <v>8440.52</v>
      </c>
      <c r="AH13" s="19">
        <f>AF13-AE13</f>
        <v>0</v>
      </c>
      <c r="AI13" s="17">
        <f t="shared" si="22"/>
        <v>0</v>
      </c>
      <c r="AJ13" s="43">
        <f t="shared" si="22"/>
        <v>0</v>
      </c>
      <c r="AK13" s="18">
        <f t="shared" si="22"/>
        <v>20764.97</v>
      </c>
      <c r="AL13" s="19">
        <f>AJ13-AI13</f>
        <v>0</v>
      </c>
      <c r="AM13" s="17"/>
      <c r="AN13" s="18"/>
      <c r="AO13" s="43">
        <v>2784.12</v>
      </c>
      <c r="AP13" s="20">
        <f>AN13-AM13</f>
        <v>0</v>
      </c>
      <c r="AQ13" s="17"/>
      <c r="AR13" s="18"/>
      <c r="AS13" s="43">
        <v>2593.9899999999998</v>
      </c>
      <c r="AT13" s="20">
        <f>AR13-AQ13</f>
        <v>0</v>
      </c>
      <c r="AU13" s="17"/>
      <c r="AV13" s="18"/>
      <c r="AW13" s="43">
        <v>1826.07</v>
      </c>
      <c r="AX13" s="20">
        <f>AV13-AU13</f>
        <v>0</v>
      </c>
      <c r="AY13" s="17">
        <f t="shared" si="23"/>
        <v>0</v>
      </c>
      <c r="AZ13" s="18">
        <f t="shared" si="23"/>
        <v>0</v>
      </c>
      <c r="BA13" s="18">
        <f t="shared" si="23"/>
        <v>7204.1799999999994</v>
      </c>
      <c r="BB13" s="19">
        <f>AZ13-AY13</f>
        <v>0</v>
      </c>
      <c r="BC13" s="190">
        <f t="shared" si="24"/>
        <v>0</v>
      </c>
      <c r="BD13" s="84">
        <f t="shared" si="24"/>
        <v>0</v>
      </c>
      <c r="BE13" s="84">
        <f t="shared" si="24"/>
        <v>27969.15</v>
      </c>
      <c r="BF13" s="170">
        <f>BD13-BC13</f>
        <v>0</v>
      </c>
      <c r="BG13" s="17"/>
      <c r="BH13" s="18"/>
      <c r="BI13" s="43">
        <v>284.60000000000002</v>
      </c>
      <c r="BJ13" s="41">
        <f t="shared" ref="BJ13:BJ51" si="31">BH13-BG13</f>
        <v>0</v>
      </c>
      <c r="BK13" s="17"/>
      <c r="BL13" s="43"/>
      <c r="BM13" s="43">
        <v>1097.76</v>
      </c>
      <c r="BN13" s="41">
        <f>BL13-BK13</f>
        <v>0</v>
      </c>
      <c r="BO13" s="17"/>
      <c r="BP13" s="43"/>
      <c r="BQ13" s="43">
        <v>3252.4</v>
      </c>
      <c r="BR13" s="41">
        <f>BP13-BO13</f>
        <v>0</v>
      </c>
      <c r="BS13" s="17">
        <f t="shared" si="25"/>
        <v>0</v>
      </c>
      <c r="BT13" s="18">
        <f t="shared" si="25"/>
        <v>0</v>
      </c>
      <c r="BU13" s="18">
        <f t="shared" si="25"/>
        <v>4634.76</v>
      </c>
      <c r="BV13" s="20">
        <f>BT13-BS13</f>
        <v>0</v>
      </c>
      <c r="BW13" s="17">
        <f t="shared" si="26"/>
        <v>0</v>
      </c>
      <c r="BX13" s="18">
        <f t="shared" si="26"/>
        <v>0</v>
      </c>
      <c r="BY13" s="18">
        <f t="shared" si="26"/>
        <v>11838.939999999999</v>
      </c>
      <c r="BZ13" s="20">
        <f>BX13-BW13</f>
        <v>0</v>
      </c>
      <c r="CA13" s="17">
        <f t="shared" si="27"/>
        <v>0</v>
      </c>
      <c r="CB13" s="18">
        <f t="shared" si="27"/>
        <v>0</v>
      </c>
      <c r="CC13" s="18">
        <f t="shared" si="27"/>
        <v>32603.91</v>
      </c>
      <c r="CD13" s="20">
        <f t="shared" ref="CD13:CD20" si="32">CB13-CA13</f>
        <v>0</v>
      </c>
      <c r="CF13" s="3"/>
      <c r="CG13" s="3"/>
      <c r="CJ13" s="91">
        <f t="shared" si="28"/>
        <v>0</v>
      </c>
      <c r="CK13" s="91">
        <f t="shared" si="28"/>
        <v>0</v>
      </c>
      <c r="CL13" s="91">
        <f t="shared" si="28"/>
        <v>4634.76</v>
      </c>
      <c r="CM13" s="91">
        <f t="shared" si="28"/>
        <v>0</v>
      </c>
      <c r="CN13" s="91">
        <f t="shared" si="15"/>
        <v>0</v>
      </c>
      <c r="CO13" s="91">
        <f t="shared" si="15"/>
        <v>0</v>
      </c>
      <c r="CP13" s="91">
        <f t="shared" si="15"/>
        <v>32603.910000000003</v>
      </c>
      <c r="CQ13" s="91">
        <f t="shared" si="15"/>
        <v>0</v>
      </c>
    </row>
    <row r="14" spans="1:95" ht="16.5" x14ac:dyDescent="0.3">
      <c r="A14" s="9"/>
      <c r="B14" s="26" t="s">
        <v>30</v>
      </c>
      <c r="C14" s="174"/>
      <c r="D14" s="18"/>
      <c r="E14" s="43">
        <v>61835.13</v>
      </c>
      <c r="F14" s="170">
        <f>D14-C14</f>
        <v>0</v>
      </c>
      <c r="G14" s="83">
        <v>77763.95</v>
      </c>
      <c r="H14" s="18">
        <v>72512.87</v>
      </c>
      <c r="I14" s="43">
        <v>7306.87</v>
      </c>
      <c r="J14" s="19">
        <f>H14-G14</f>
        <v>-5251.0800000000017</v>
      </c>
      <c r="K14" s="17">
        <v>77763.95</v>
      </c>
      <c r="L14" s="18">
        <v>72512.73</v>
      </c>
      <c r="M14" s="43">
        <v>62809.81</v>
      </c>
      <c r="N14" s="25">
        <f t="shared" si="29"/>
        <v>-5251.2200000000012</v>
      </c>
      <c r="O14" s="17">
        <f t="shared" si="17"/>
        <v>155527.9</v>
      </c>
      <c r="P14" s="43">
        <f t="shared" si="20"/>
        <v>145025.59999999998</v>
      </c>
      <c r="Q14" s="43">
        <f t="shared" si="20"/>
        <v>131951.81</v>
      </c>
      <c r="R14" s="19">
        <f>P14-O14</f>
        <v>-10502.300000000017</v>
      </c>
      <c r="S14" s="17">
        <v>77763.95</v>
      </c>
      <c r="T14" s="18">
        <v>72512.98</v>
      </c>
      <c r="U14" s="43">
        <v>64197.17</v>
      </c>
      <c r="V14" s="19">
        <f>T14-S14</f>
        <v>-5250.9700000000012</v>
      </c>
      <c r="W14" s="17">
        <v>77763.95</v>
      </c>
      <c r="X14" s="18">
        <v>72513.47</v>
      </c>
      <c r="Y14" s="37">
        <v>65460.22</v>
      </c>
      <c r="Z14" s="18">
        <f>X14-W14</f>
        <v>-5250.4799999999959</v>
      </c>
      <c r="AA14" s="17">
        <v>77763.95</v>
      </c>
      <c r="AB14" s="18">
        <v>72513.36</v>
      </c>
      <c r="AC14" s="199">
        <v>67756.789999999994</v>
      </c>
      <c r="AD14" s="19">
        <f t="shared" si="30"/>
        <v>-5250.5899999999965</v>
      </c>
      <c r="AE14" s="17">
        <f t="shared" si="21"/>
        <v>233291.84999999998</v>
      </c>
      <c r="AF14" s="18">
        <f t="shared" si="21"/>
        <v>217539.81</v>
      </c>
      <c r="AG14" s="18">
        <f t="shared" si="21"/>
        <v>197414.18</v>
      </c>
      <c r="AH14" s="19">
        <f>AF14-AE14</f>
        <v>-15752.039999999979</v>
      </c>
      <c r="AI14" s="17">
        <f t="shared" si="22"/>
        <v>388819.75</v>
      </c>
      <c r="AJ14" s="43">
        <f t="shared" si="22"/>
        <v>362565.41</v>
      </c>
      <c r="AK14" s="18">
        <f t="shared" si="22"/>
        <v>329365.99</v>
      </c>
      <c r="AL14" s="19">
        <f>AJ14-AI14</f>
        <v>-26254.340000000026</v>
      </c>
      <c r="AM14" s="17">
        <v>79684.58</v>
      </c>
      <c r="AN14" s="18">
        <v>74292.320000000007</v>
      </c>
      <c r="AO14" s="43">
        <v>69871.88</v>
      </c>
      <c r="AP14" s="20">
        <f>AN14-AM14</f>
        <v>-5392.2599999999948</v>
      </c>
      <c r="AQ14" s="17">
        <v>79684.58</v>
      </c>
      <c r="AR14" s="18">
        <v>74292.41</v>
      </c>
      <c r="AS14" s="43">
        <f>70204.9</f>
        <v>70204.899999999994</v>
      </c>
      <c r="AT14" s="20">
        <f>AR14-AQ14</f>
        <v>-5392.1699999999983</v>
      </c>
      <c r="AU14" s="17">
        <v>79684.58</v>
      </c>
      <c r="AV14" s="18">
        <v>74293.3</v>
      </c>
      <c r="AW14" s="43">
        <f>4178.95+70413.85</f>
        <v>74592.800000000003</v>
      </c>
      <c r="AX14" s="20">
        <f>AV14-AU14</f>
        <v>-5391.2799999999988</v>
      </c>
      <c r="AY14" s="17">
        <f t="shared" si="23"/>
        <v>239053.74</v>
      </c>
      <c r="AZ14" s="18">
        <f t="shared" si="23"/>
        <v>222878.03000000003</v>
      </c>
      <c r="BA14" s="18">
        <f t="shared" si="23"/>
        <v>214669.58000000002</v>
      </c>
      <c r="BB14" s="19">
        <f>AZ14-AY14</f>
        <v>-16175.709999999963</v>
      </c>
      <c r="BC14" s="190">
        <f t="shared" si="24"/>
        <v>627873.49</v>
      </c>
      <c r="BD14" s="84">
        <f t="shared" si="24"/>
        <v>585443.43999999994</v>
      </c>
      <c r="BE14" s="84">
        <f t="shared" si="24"/>
        <v>544035.57000000007</v>
      </c>
      <c r="BF14" s="170">
        <f>BD14-BC14</f>
        <v>-42430.050000000047</v>
      </c>
      <c r="BG14" s="17">
        <v>79684.58</v>
      </c>
      <c r="BH14" s="18">
        <v>74292.98</v>
      </c>
      <c r="BI14" s="43">
        <f>70900.36+113.03</f>
        <v>71013.39</v>
      </c>
      <c r="BJ14" s="41">
        <f t="shared" si="31"/>
        <v>-5391.6000000000058</v>
      </c>
      <c r="BK14" s="17">
        <v>79684.58</v>
      </c>
      <c r="BL14" s="43">
        <f>74292.58</f>
        <v>74292.58</v>
      </c>
      <c r="BM14" s="43">
        <f>3358.55+68310.3</f>
        <v>71668.850000000006</v>
      </c>
      <c r="BN14" s="41">
        <f>BL14-BK14</f>
        <v>-5392</v>
      </c>
      <c r="BO14" s="17">
        <v>79684.58</v>
      </c>
      <c r="BP14" s="43">
        <v>74292.25</v>
      </c>
      <c r="BQ14" s="43">
        <v>73942.06</v>
      </c>
      <c r="BR14" s="41">
        <f>BP14-BO14</f>
        <v>-5392.3300000000017</v>
      </c>
      <c r="BS14" s="17">
        <f t="shared" si="25"/>
        <v>239053.74</v>
      </c>
      <c r="BT14" s="18">
        <f t="shared" si="25"/>
        <v>222877.81</v>
      </c>
      <c r="BU14" s="18">
        <f t="shared" si="25"/>
        <v>216624.3</v>
      </c>
      <c r="BV14" s="20">
        <f>BT14-BS14</f>
        <v>-16175.929999999993</v>
      </c>
      <c r="BW14" s="17">
        <f t="shared" si="26"/>
        <v>478107.48</v>
      </c>
      <c r="BX14" s="18">
        <f t="shared" si="26"/>
        <v>445755.84</v>
      </c>
      <c r="BY14" s="18">
        <f t="shared" si="26"/>
        <v>431293.88</v>
      </c>
      <c r="BZ14" s="20">
        <f>BX14-BW14</f>
        <v>-32351.639999999956</v>
      </c>
      <c r="CA14" s="17">
        <f t="shared" si="27"/>
        <v>866927.23</v>
      </c>
      <c r="CB14" s="18">
        <f t="shared" si="27"/>
        <v>808321.25</v>
      </c>
      <c r="CC14" s="18">
        <f t="shared" si="27"/>
        <v>760659.87</v>
      </c>
      <c r="CD14" s="20">
        <f t="shared" si="32"/>
        <v>-58605.979999999981</v>
      </c>
      <c r="CF14" s="3"/>
      <c r="CG14" s="3"/>
      <c r="CJ14" s="91">
        <f t="shared" si="28"/>
        <v>239053.74</v>
      </c>
      <c r="CK14" s="91">
        <f t="shared" si="28"/>
        <v>222877.81</v>
      </c>
      <c r="CL14" s="91">
        <f t="shared" si="28"/>
        <v>216624.3</v>
      </c>
      <c r="CM14" s="91">
        <f t="shared" si="28"/>
        <v>-16175.930000000008</v>
      </c>
      <c r="CN14" s="91">
        <f t="shared" si="15"/>
        <v>866927.23</v>
      </c>
      <c r="CO14" s="91">
        <f t="shared" si="15"/>
        <v>808321.25</v>
      </c>
      <c r="CP14" s="91">
        <f t="shared" si="15"/>
        <v>760659.87000000011</v>
      </c>
      <c r="CQ14" s="91">
        <f t="shared" si="15"/>
        <v>-58605.979999999967</v>
      </c>
    </row>
    <row r="15" spans="1:95" ht="16.5" x14ac:dyDescent="0.3">
      <c r="A15" s="9"/>
      <c r="B15" s="26" t="s">
        <v>31</v>
      </c>
      <c r="C15" s="174"/>
      <c r="D15" s="18"/>
      <c r="E15" s="43">
        <v>11483.02</v>
      </c>
      <c r="F15" s="170">
        <f>D15-C15</f>
        <v>0</v>
      </c>
      <c r="G15" s="83">
        <v>16882.09</v>
      </c>
      <c r="H15" s="18">
        <v>15766.28</v>
      </c>
      <c r="I15" s="43">
        <v>1413.56</v>
      </c>
      <c r="J15" s="19">
        <f>H15-G15</f>
        <v>-1115.8099999999995</v>
      </c>
      <c r="K15" s="17">
        <v>16882.09</v>
      </c>
      <c r="L15" s="18">
        <v>15766.27</v>
      </c>
      <c r="M15" s="43">
        <v>13558.25</v>
      </c>
      <c r="N15" s="25">
        <f t="shared" si="29"/>
        <v>-1115.8199999999997</v>
      </c>
      <c r="O15" s="17">
        <f t="shared" si="17"/>
        <v>33764.18</v>
      </c>
      <c r="P15" s="43">
        <f t="shared" si="20"/>
        <v>31532.550000000003</v>
      </c>
      <c r="Q15" s="43">
        <f t="shared" si="20"/>
        <v>26454.83</v>
      </c>
      <c r="R15" s="19">
        <f>P15-O15</f>
        <v>-2231.6299999999974</v>
      </c>
      <c r="S15" s="17">
        <v>16882.09</v>
      </c>
      <c r="T15" s="18">
        <v>15766.34</v>
      </c>
      <c r="U15" s="43">
        <v>13894.06</v>
      </c>
      <c r="V15" s="19">
        <f>T15-S15</f>
        <v>-1115.75</v>
      </c>
      <c r="W15" s="17">
        <v>16882.09</v>
      </c>
      <c r="X15" s="18">
        <v>15766.47</v>
      </c>
      <c r="Y15" s="37">
        <v>14190.53</v>
      </c>
      <c r="Z15" s="18">
        <f>X15-W15</f>
        <v>-1115.6200000000008</v>
      </c>
      <c r="AA15" s="17">
        <v>16882.09</v>
      </c>
      <c r="AB15" s="18">
        <v>15766.44</v>
      </c>
      <c r="AC15" s="199">
        <v>14657.65</v>
      </c>
      <c r="AD15" s="19">
        <f t="shared" si="30"/>
        <v>-1115.6499999999996</v>
      </c>
      <c r="AE15" s="17">
        <f t="shared" si="21"/>
        <v>50646.270000000004</v>
      </c>
      <c r="AF15" s="18">
        <f t="shared" si="21"/>
        <v>47299.25</v>
      </c>
      <c r="AG15" s="18">
        <f t="shared" si="21"/>
        <v>42742.239999999998</v>
      </c>
      <c r="AH15" s="19">
        <f>AF15-AE15</f>
        <v>-3347.0200000000041</v>
      </c>
      <c r="AI15" s="17">
        <f t="shared" si="22"/>
        <v>84410.450000000012</v>
      </c>
      <c r="AJ15" s="43">
        <f t="shared" si="22"/>
        <v>78831.8</v>
      </c>
      <c r="AK15" s="18">
        <f t="shared" si="22"/>
        <v>69197.070000000007</v>
      </c>
      <c r="AL15" s="19">
        <f>AJ15-AI15</f>
        <v>-5578.6500000000087</v>
      </c>
      <c r="AM15" s="17">
        <v>16882.05</v>
      </c>
      <c r="AN15" s="18">
        <v>15767.52</v>
      </c>
      <c r="AO15" s="43">
        <v>15104.19</v>
      </c>
      <c r="AP15" s="20">
        <f>AN15-AM15</f>
        <v>-1114.5299999999988</v>
      </c>
      <c r="AQ15" s="17">
        <v>16882.05</v>
      </c>
      <c r="AR15" s="18">
        <v>15767.56</v>
      </c>
      <c r="AS15" s="43">
        <f>14894.92</f>
        <v>14894.92</v>
      </c>
      <c r="AT15" s="20">
        <f>AR15-AQ15</f>
        <v>-1114.4899999999998</v>
      </c>
      <c r="AU15" s="17">
        <v>16882.05</v>
      </c>
      <c r="AV15" s="18">
        <v>15767.79</v>
      </c>
      <c r="AW15" s="43">
        <f>14920.34+623.22</f>
        <v>15543.56</v>
      </c>
      <c r="AX15" s="20">
        <f>AV15-AU15</f>
        <v>-1114.2599999999984</v>
      </c>
      <c r="AY15" s="17">
        <f t="shared" si="23"/>
        <v>50646.149999999994</v>
      </c>
      <c r="AZ15" s="18">
        <f t="shared" si="23"/>
        <v>47302.87</v>
      </c>
      <c r="BA15" s="18">
        <f t="shared" si="23"/>
        <v>45542.67</v>
      </c>
      <c r="BB15" s="19">
        <f>AZ15-AY15</f>
        <v>-3343.2799999999916</v>
      </c>
      <c r="BC15" s="190">
        <f t="shared" si="24"/>
        <v>135056.6</v>
      </c>
      <c r="BD15" s="84">
        <f t="shared" si="24"/>
        <v>126134.67000000001</v>
      </c>
      <c r="BE15" s="84">
        <f t="shared" si="24"/>
        <v>114739.74</v>
      </c>
      <c r="BF15" s="170">
        <f>BD15-BC15</f>
        <v>-8921.929999999993</v>
      </c>
      <c r="BG15" s="17">
        <v>16882.05</v>
      </c>
      <c r="BH15" s="18">
        <v>15767.72</v>
      </c>
      <c r="BI15" s="43">
        <f>15038.16+31.56</f>
        <v>15069.72</v>
      </c>
      <c r="BJ15" s="41">
        <f t="shared" si="31"/>
        <v>-1114.33</v>
      </c>
      <c r="BK15" s="17">
        <v>16882.05</v>
      </c>
      <c r="BL15" s="43">
        <f>15767.63</f>
        <v>15767.63</v>
      </c>
      <c r="BM15" s="43">
        <f>14491.81+1291.31</f>
        <v>15783.119999999999</v>
      </c>
      <c r="BN15" s="41">
        <f>BL15-BK15</f>
        <v>-1114.42</v>
      </c>
      <c r="BO15" s="17">
        <v>16882.05</v>
      </c>
      <c r="BP15" s="43">
        <v>15767.55</v>
      </c>
      <c r="BQ15" s="43">
        <v>15665.86</v>
      </c>
      <c r="BR15" s="41">
        <f>BP15-BO15</f>
        <v>-1114.5</v>
      </c>
      <c r="BS15" s="17">
        <f t="shared" si="25"/>
        <v>50646.149999999994</v>
      </c>
      <c r="BT15" s="18">
        <f t="shared" si="25"/>
        <v>47302.899999999994</v>
      </c>
      <c r="BU15" s="18">
        <f t="shared" si="25"/>
        <v>46518.7</v>
      </c>
      <c r="BV15" s="20">
        <f>BT15-BS15</f>
        <v>-3343.25</v>
      </c>
      <c r="BW15" s="17">
        <f t="shared" si="26"/>
        <v>101292.29999999999</v>
      </c>
      <c r="BX15" s="18">
        <f t="shared" si="26"/>
        <v>94605.76999999999</v>
      </c>
      <c r="BY15" s="18">
        <f t="shared" si="26"/>
        <v>92061.37</v>
      </c>
      <c r="BZ15" s="20">
        <f>BX15-BW15</f>
        <v>-6686.5299999999988</v>
      </c>
      <c r="CA15" s="17">
        <f t="shared" si="27"/>
        <v>185702.75</v>
      </c>
      <c r="CB15" s="18">
        <f t="shared" si="27"/>
        <v>173437.57</v>
      </c>
      <c r="CC15" s="18">
        <f t="shared" si="27"/>
        <v>161258.44</v>
      </c>
      <c r="CD15" s="20">
        <f t="shared" si="32"/>
        <v>-12265.179999999993</v>
      </c>
      <c r="CF15" s="3"/>
      <c r="CJ15" s="91">
        <f t="shared" si="28"/>
        <v>50646.149999999994</v>
      </c>
      <c r="CK15" s="91">
        <f t="shared" si="28"/>
        <v>47302.899999999994</v>
      </c>
      <c r="CL15" s="91">
        <f t="shared" si="28"/>
        <v>46518.7</v>
      </c>
      <c r="CM15" s="91">
        <f t="shared" si="28"/>
        <v>-3343.25</v>
      </c>
      <c r="CN15" s="91">
        <f t="shared" si="15"/>
        <v>185702.75</v>
      </c>
      <c r="CO15" s="91">
        <f t="shared" si="15"/>
        <v>173437.57</v>
      </c>
      <c r="CP15" s="91">
        <f t="shared" si="15"/>
        <v>161258.44</v>
      </c>
      <c r="CQ15" s="91">
        <f t="shared" si="15"/>
        <v>-12265.179999999993</v>
      </c>
    </row>
    <row r="16" spans="1:95" ht="16.5" x14ac:dyDescent="0.3">
      <c r="A16" s="9"/>
      <c r="B16" s="26" t="s">
        <v>32</v>
      </c>
      <c r="C16" s="174"/>
      <c r="D16" s="18"/>
      <c r="E16" s="43">
        <v>21815.98</v>
      </c>
      <c r="F16" s="170">
        <f>D16-C16</f>
        <v>0</v>
      </c>
      <c r="G16" s="83">
        <v>34189.870000000003</v>
      </c>
      <c r="H16" s="18">
        <v>31883.67</v>
      </c>
      <c r="I16" s="43">
        <v>2712.03</v>
      </c>
      <c r="J16" s="19">
        <f>H16-G16</f>
        <v>-2306.2000000000044</v>
      </c>
      <c r="K16" s="17">
        <v>34189.870000000003</v>
      </c>
      <c r="L16" s="18">
        <v>31883.61</v>
      </c>
      <c r="M16" s="43">
        <v>27371.16</v>
      </c>
      <c r="N16" s="25">
        <f t="shared" si="29"/>
        <v>-2306.260000000002</v>
      </c>
      <c r="O16" s="17">
        <f t="shared" si="17"/>
        <v>68379.740000000005</v>
      </c>
      <c r="P16" s="43">
        <f t="shared" si="20"/>
        <v>63767.28</v>
      </c>
      <c r="Q16" s="43">
        <f t="shared" si="20"/>
        <v>51899.17</v>
      </c>
      <c r="R16" s="19">
        <f>P16-O16</f>
        <v>-4612.4600000000064</v>
      </c>
      <c r="S16" s="17">
        <v>34189.870000000003</v>
      </c>
      <c r="T16" s="18">
        <v>31883.74</v>
      </c>
      <c r="U16" s="43">
        <v>28066.28</v>
      </c>
      <c r="V16" s="19">
        <f>T16-S16</f>
        <v>-2306.130000000001</v>
      </c>
      <c r="W16" s="17">
        <v>34189.870000000003</v>
      </c>
      <c r="X16" s="18">
        <v>31883.95</v>
      </c>
      <c r="Y16" s="37">
        <v>28678.1</v>
      </c>
      <c r="Z16" s="18">
        <f>X16-W16</f>
        <v>-2305.9200000000019</v>
      </c>
      <c r="AA16" s="17">
        <v>34189.870000000003</v>
      </c>
      <c r="AB16" s="18">
        <v>31883.919999999998</v>
      </c>
      <c r="AC16" s="199">
        <v>29640.03</v>
      </c>
      <c r="AD16" s="19">
        <f t="shared" si="30"/>
        <v>-2305.9500000000044</v>
      </c>
      <c r="AE16" s="17">
        <f t="shared" si="21"/>
        <v>102569.61000000002</v>
      </c>
      <c r="AF16" s="18">
        <f t="shared" si="21"/>
        <v>95651.61</v>
      </c>
      <c r="AG16" s="18">
        <f t="shared" si="21"/>
        <v>86384.41</v>
      </c>
      <c r="AH16" s="19">
        <f>AF16-AE16</f>
        <v>-6918.0000000000146</v>
      </c>
      <c r="AI16" s="17">
        <f t="shared" si="22"/>
        <v>170949.35000000003</v>
      </c>
      <c r="AJ16" s="43">
        <f t="shared" si="22"/>
        <v>159418.89000000001</v>
      </c>
      <c r="AK16" s="18">
        <f t="shared" si="22"/>
        <v>138283.58000000002</v>
      </c>
      <c r="AL16" s="19">
        <f>AJ16-AI16</f>
        <v>-11530.460000000021</v>
      </c>
      <c r="AM16" s="17">
        <v>34189.870000000003</v>
      </c>
      <c r="AN16" s="18">
        <v>31885.200000000001</v>
      </c>
      <c r="AO16" s="43">
        <v>30515.77</v>
      </c>
      <c r="AP16" s="20">
        <f>AN16-AM16</f>
        <v>-2304.6700000000019</v>
      </c>
      <c r="AQ16" s="17">
        <v>34189.870000000003</v>
      </c>
      <c r="AR16" s="18">
        <v>31885.25</v>
      </c>
      <c r="AS16" s="43">
        <v>30085.51</v>
      </c>
      <c r="AT16" s="20">
        <f>AR16-AQ16</f>
        <v>-2304.6200000000026</v>
      </c>
      <c r="AU16" s="17">
        <v>34189.870000000003</v>
      </c>
      <c r="AV16" s="18">
        <v>31885.62</v>
      </c>
      <c r="AW16" s="43">
        <v>30142.79</v>
      </c>
      <c r="AX16" s="20">
        <f>AV16-AU16</f>
        <v>-2304.2500000000036</v>
      </c>
      <c r="AY16" s="17">
        <f t="shared" si="23"/>
        <v>102569.61000000002</v>
      </c>
      <c r="AZ16" s="18">
        <f t="shared" si="23"/>
        <v>95656.069999999992</v>
      </c>
      <c r="BA16" s="18">
        <f t="shared" si="23"/>
        <v>90744.07</v>
      </c>
      <c r="BB16" s="19">
        <f>AZ16-AY16</f>
        <v>-6913.5400000000227</v>
      </c>
      <c r="BC16" s="190">
        <f t="shared" si="24"/>
        <v>273518.96000000008</v>
      </c>
      <c r="BD16" s="84">
        <f t="shared" si="24"/>
        <v>255074.96000000002</v>
      </c>
      <c r="BE16" s="84">
        <f t="shared" si="24"/>
        <v>229027.65000000002</v>
      </c>
      <c r="BF16" s="170">
        <f>BD16-BC16</f>
        <v>-18444.000000000058</v>
      </c>
      <c r="BG16" s="17">
        <v>34189.870000000003</v>
      </c>
      <c r="BH16" s="18">
        <v>31885.48</v>
      </c>
      <c r="BI16" s="43">
        <v>30391.14</v>
      </c>
      <c r="BJ16" s="41">
        <f t="shared" si="31"/>
        <v>-2304.3900000000031</v>
      </c>
      <c r="BK16" s="17">
        <v>34189.870000000003</v>
      </c>
      <c r="BL16" s="43">
        <f>31885.31</f>
        <v>31885.31</v>
      </c>
      <c r="BM16" s="43">
        <v>29316.85</v>
      </c>
      <c r="BN16" s="41">
        <f>BL16-BK16</f>
        <v>-2304.5600000000013</v>
      </c>
      <c r="BO16" s="17">
        <v>34189.870000000003</v>
      </c>
      <c r="BP16" s="43">
        <v>31885.21</v>
      </c>
      <c r="BQ16" s="43">
        <v>31655.89</v>
      </c>
      <c r="BR16" s="41">
        <f>BP16-BO16</f>
        <v>-2304.6600000000035</v>
      </c>
      <c r="BS16" s="17">
        <f t="shared" si="25"/>
        <v>102569.61000000002</v>
      </c>
      <c r="BT16" s="18">
        <f t="shared" si="25"/>
        <v>95656</v>
      </c>
      <c r="BU16" s="18">
        <f t="shared" si="25"/>
        <v>91363.88</v>
      </c>
      <c r="BV16" s="20">
        <f>BT16-BS16</f>
        <v>-6913.6100000000151</v>
      </c>
      <c r="BW16" s="17">
        <f t="shared" si="26"/>
        <v>205139.22000000003</v>
      </c>
      <c r="BX16" s="18">
        <f t="shared" si="26"/>
        <v>191312.07</v>
      </c>
      <c r="BY16" s="18">
        <f t="shared" si="26"/>
        <v>182107.95</v>
      </c>
      <c r="BZ16" s="20">
        <f>BX16-BW16</f>
        <v>-13827.150000000023</v>
      </c>
      <c r="CA16" s="17">
        <f t="shared" si="27"/>
        <v>376088.57000000007</v>
      </c>
      <c r="CB16" s="18">
        <f t="shared" si="27"/>
        <v>350730.96</v>
      </c>
      <c r="CC16" s="18">
        <f t="shared" si="27"/>
        <v>320391.53000000003</v>
      </c>
      <c r="CD16" s="20">
        <f t="shared" si="32"/>
        <v>-25357.610000000044</v>
      </c>
      <c r="CF16" s="3"/>
      <c r="CJ16" s="91">
        <f t="shared" si="28"/>
        <v>102569.61000000002</v>
      </c>
      <c r="CK16" s="91">
        <f t="shared" si="28"/>
        <v>95656</v>
      </c>
      <c r="CL16" s="91">
        <f t="shared" si="28"/>
        <v>91363.88</v>
      </c>
      <c r="CM16" s="91">
        <f t="shared" si="28"/>
        <v>-6913.6100000000079</v>
      </c>
      <c r="CN16" s="91">
        <f t="shared" si="15"/>
        <v>376088.57000000007</v>
      </c>
      <c r="CO16" s="91">
        <f t="shared" si="15"/>
        <v>350730.96</v>
      </c>
      <c r="CP16" s="91">
        <f t="shared" si="15"/>
        <v>320391.53000000003</v>
      </c>
      <c r="CQ16" s="91">
        <f t="shared" si="15"/>
        <v>-25357.610000000052</v>
      </c>
    </row>
    <row r="17" spans="1:95" ht="16.5" x14ac:dyDescent="0.3">
      <c r="A17" s="9"/>
      <c r="B17" s="26" t="s">
        <v>151</v>
      </c>
      <c r="C17" s="174">
        <v>151409.32</v>
      </c>
      <c r="D17" s="18">
        <v>151432.21</v>
      </c>
      <c r="E17" s="43">
        <v>140468.51999999999</v>
      </c>
      <c r="F17" s="170">
        <f t="shared" ref="F17:F32" si="33">D17-C17</f>
        <v>22.889999999984866</v>
      </c>
      <c r="G17" s="83">
        <v>151409.32</v>
      </c>
      <c r="H17" s="18">
        <v>151424.46</v>
      </c>
      <c r="I17" s="43">
        <v>156360.9</v>
      </c>
      <c r="J17" s="19">
        <f t="shared" ref="J17:J32" si="34">H17-G17</f>
        <v>15.139999999984866</v>
      </c>
      <c r="K17" s="17">
        <v>151409.32</v>
      </c>
      <c r="L17" s="18">
        <v>151423.10999999999</v>
      </c>
      <c r="M17" s="43">
        <v>141580.6</v>
      </c>
      <c r="N17" s="25">
        <f t="shared" si="29"/>
        <v>13.789999999979045</v>
      </c>
      <c r="O17" s="17">
        <f t="shared" si="17"/>
        <v>454227.96</v>
      </c>
      <c r="P17" s="43">
        <f t="shared" si="20"/>
        <v>454279.77999999991</v>
      </c>
      <c r="Q17" s="43">
        <f t="shared" si="20"/>
        <v>438410.02</v>
      </c>
      <c r="R17" s="19">
        <f t="shared" ref="R17:R32" si="35">P17-O17</f>
        <v>51.81999999989057</v>
      </c>
      <c r="S17" s="17">
        <v>151409.32</v>
      </c>
      <c r="T17" s="18">
        <v>151423.10999999999</v>
      </c>
      <c r="U17" s="43">
        <v>154300.15</v>
      </c>
      <c r="V17" s="19">
        <f t="shared" ref="V17:V32" si="36">T17-S17</f>
        <v>13.789999999979045</v>
      </c>
      <c r="W17" s="17">
        <v>151409.32</v>
      </c>
      <c r="X17" s="18">
        <v>151423.10999999999</v>
      </c>
      <c r="Y17" s="37">
        <v>144457.65</v>
      </c>
      <c r="Z17" s="18">
        <f t="shared" ref="Z17:Z51" si="37">X17-W17</f>
        <v>13.789999999979045</v>
      </c>
      <c r="AA17" s="17">
        <v>151409.32</v>
      </c>
      <c r="AB17" s="18">
        <v>151423.10999999999</v>
      </c>
      <c r="AC17" s="199">
        <v>157025.76999999999</v>
      </c>
      <c r="AD17" s="19">
        <f t="shared" si="30"/>
        <v>13.789999999979045</v>
      </c>
      <c r="AE17" s="17">
        <f t="shared" si="21"/>
        <v>454227.96</v>
      </c>
      <c r="AF17" s="18">
        <f t="shared" si="21"/>
        <v>454269.32999999996</v>
      </c>
      <c r="AG17" s="18">
        <f t="shared" si="21"/>
        <v>455783.56999999995</v>
      </c>
      <c r="AH17" s="19">
        <f t="shared" ref="AH17:AH51" si="38">AF17-AE17</f>
        <v>41.369999999937136</v>
      </c>
      <c r="AI17" s="17">
        <f t="shared" si="22"/>
        <v>908455.92</v>
      </c>
      <c r="AJ17" s="43">
        <f t="shared" si="22"/>
        <v>908549.10999999987</v>
      </c>
      <c r="AK17" s="18">
        <f t="shared" si="22"/>
        <v>894193.59</v>
      </c>
      <c r="AL17" s="19">
        <f t="shared" ref="AL17:AL30" si="39">AJ17-AI17</f>
        <v>93.189999999827705</v>
      </c>
      <c r="AM17" s="17">
        <v>151409.32</v>
      </c>
      <c r="AN17" s="18">
        <v>151423.10999999999</v>
      </c>
      <c r="AO17" s="43">
        <v>158010.01</v>
      </c>
      <c r="AP17" s="20">
        <f t="shared" ref="AP17:AP30" si="40">AN17-AM17</f>
        <v>13.789999999979045</v>
      </c>
      <c r="AQ17" s="17">
        <v>151409.32</v>
      </c>
      <c r="AR17" s="18">
        <v>151420.07999999999</v>
      </c>
      <c r="AS17" s="43">
        <v>143849.07999999999</v>
      </c>
      <c r="AT17" s="20">
        <f t="shared" ref="AT17:AT30" si="41">AR17-AQ17</f>
        <v>10.759999999980209</v>
      </c>
      <c r="AU17" s="17">
        <v>151409.32</v>
      </c>
      <c r="AV17" s="18">
        <v>151420.07999999999</v>
      </c>
      <c r="AW17" s="43">
        <v>156719.78</v>
      </c>
      <c r="AX17" s="20">
        <f t="shared" ref="AX17:AX30" si="42">AV17-AU17</f>
        <v>10.759999999980209</v>
      </c>
      <c r="AY17" s="17">
        <f t="shared" si="23"/>
        <v>454227.96</v>
      </c>
      <c r="AZ17" s="18">
        <f t="shared" si="23"/>
        <v>454263.2699999999</v>
      </c>
      <c r="BA17" s="18">
        <f t="shared" si="23"/>
        <v>458578.87</v>
      </c>
      <c r="BB17" s="19">
        <f t="shared" ref="BB17:BB30" si="43">AZ17-AY17</f>
        <v>35.309999999881256</v>
      </c>
      <c r="BC17" s="190">
        <f t="shared" si="24"/>
        <v>1362683.8800000001</v>
      </c>
      <c r="BD17" s="84">
        <f t="shared" si="24"/>
        <v>1362812.38</v>
      </c>
      <c r="BE17" s="84">
        <f t="shared" si="24"/>
        <v>1352772.46</v>
      </c>
      <c r="BF17" s="170">
        <f t="shared" ref="BF17:BF51" si="44">BD17-BC17</f>
        <v>128.49999999976717</v>
      </c>
      <c r="BG17" s="17">
        <v>151409.32</v>
      </c>
      <c r="BH17" s="18">
        <v>151407.19</v>
      </c>
      <c r="BI17" s="43">
        <v>153375.48000000001</v>
      </c>
      <c r="BJ17" s="41">
        <f t="shared" si="31"/>
        <v>-2.1300000000046566</v>
      </c>
      <c r="BK17" s="17">
        <v>151409.32</v>
      </c>
      <c r="BL17" s="43">
        <v>151407.19</v>
      </c>
      <c r="BM17" s="43">
        <v>149893.12</v>
      </c>
      <c r="BN17" s="41">
        <f t="shared" ref="BN17:BN51" si="45">BL17-BK17</f>
        <v>-2.1300000000046566</v>
      </c>
      <c r="BO17" s="17">
        <v>151409.32</v>
      </c>
      <c r="BP17" s="43">
        <f>151409.46</f>
        <v>151409.46</v>
      </c>
      <c r="BQ17" s="43">
        <v>157163.01999999999</v>
      </c>
      <c r="BR17" s="41">
        <f t="shared" ref="BR17:BR51" si="46">BP17-BO17</f>
        <v>0.13999999998486601</v>
      </c>
      <c r="BS17" s="17">
        <f t="shared" si="25"/>
        <v>454227.96</v>
      </c>
      <c r="BT17" s="18">
        <f t="shared" si="25"/>
        <v>454223.83999999997</v>
      </c>
      <c r="BU17" s="18">
        <f t="shared" si="25"/>
        <v>460431.62</v>
      </c>
      <c r="BV17" s="20">
        <f t="shared" ref="BV17:BV51" si="47">BT17-BS17</f>
        <v>-4.120000000053551</v>
      </c>
      <c r="BW17" s="17">
        <f t="shared" si="26"/>
        <v>908455.92</v>
      </c>
      <c r="BX17" s="18">
        <f t="shared" si="26"/>
        <v>908487.10999999987</v>
      </c>
      <c r="BY17" s="18">
        <f t="shared" si="26"/>
        <v>919010.49</v>
      </c>
      <c r="BZ17" s="20">
        <f t="shared" ref="BZ17:BZ51" si="48">BX17-BW17</f>
        <v>31.189999999827705</v>
      </c>
      <c r="CA17" s="17">
        <f t="shared" si="27"/>
        <v>1816911.84</v>
      </c>
      <c r="CB17" s="18">
        <f t="shared" si="27"/>
        <v>1817036.2199999997</v>
      </c>
      <c r="CC17" s="18">
        <f t="shared" si="27"/>
        <v>1813204.08</v>
      </c>
      <c r="CD17" s="20">
        <f t="shared" si="32"/>
        <v>124.37999999965541</v>
      </c>
      <c r="CF17" s="3"/>
      <c r="CJ17" s="91">
        <f t="shared" si="28"/>
        <v>454227.96</v>
      </c>
      <c r="CK17" s="91">
        <f t="shared" si="28"/>
        <v>454223.83999999997</v>
      </c>
      <c r="CL17" s="91">
        <f t="shared" si="28"/>
        <v>460431.62</v>
      </c>
      <c r="CM17" s="91">
        <f t="shared" si="28"/>
        <v>-4.1200000000244472</v>
      </c>
      <c r="CN17" s="91">
        <f t="shared" si="15"/>
        <v>1816911.84</v>
      </c>
      <c r="CO17" s="91">
        <f t="shared" si="15"/>
        <v>1817036.2199999997</v>
      </c>
      <c r="CP17" s="91">
        <f t="shared" si="15"/>
        <v>1813204.08</v>
      </c>
      <c r="CQ17" s="91">
        <f t="shared" si="15"/>
        <v>124.37999999968451</v>
      </c>
    </row>
    <row r="18" spans="1:95" ht="16.5" x14ac:dyDescent="0.3">
      <c r="A18" s="9"/>
      <c r="B18" s="28" t="s">
        <v>33</v>
      </c>
      <c r="C18" s="174">
        <v>2478906.35</v>
      </c>
      <c r="D18" s="18">
        <v>2478897.7999999998</v>
      </c>
      <c r="E18" s="92">
        <f>2066751.5+8869.07</f>
        <v>2075620.57</v>
      </c>
      <c r="F18" s="170">
        <f t="shared" si="33"/>
        <v>-8.5500000002793968</v>
      </c>
      <c r="G18" s="83">
        <v>2478906.35</v>
      </c>
      <c r="H18" s="18">
        <f>2478914.33</f>
        <v>2478914.33</v>
      </c>
      <c r="I18" s="43">
        <f>2322774.09+3724.5+1509.97+2133.25+5670.33-2962.88+10000</f>
        <v>2342849.2600000002</v>
      </c>
      <c r="J18" s="19">
        <f t="shared" si="34"/>
        <v>7.9799999999813735</v>
      </c>
      <c r="K18" s="17">
        <v>2478906.35</v>
      </c>
      <c r="L18" s="18">
        <v>2478903.77</v>
      </c>
      <c r="M18" s="43">
        <f>2421930.56+33592.96+1850.94+739.67+1659.47+82.97</f>
        <v>2459856.5700000003</v>
      </c>
      <c r="N18" s="25">
        <f t="shared" si="29"/>
        <v>-2.5800000000745058</v>
      </c>
      <c r="O18" s="17">
        <f t="shared" si="17"/>
        <v>7436719.0500000007</v>
      </c>
      <c r="P18" s="43">
        <f t="shared" si="20"/>
        <v>7436715.8999999994</v>
      </c>
      <c r="Q18" s="43">
        <f t="shared" si="20"/>
        <v>6878326.4000000004</v>
      </c>
      <c r="R18" s="19">
        <f t="shared" si="35"/>
        <v>-3.1500000013038516</v>
      </c>
      <c r="S18" s="17">
        <v>2478906.35</v>
      </c>
      <c r="T18" s="18">
        <v>2478916.7200000002</v>
      </c>
      <c r="U18" s="43">
        <f>2413941.23+22946.91+2542.83+1813.39+2867.88-11365.92</f>
        <v>2432746.3200000003</v>
      </c>
      <c r="V18" s="19">
        <f t="shared" si="36"/>
        <v>10.370000000111759</v>
      </c>
      <c r="W18" s="17">
        <v>2478906.35</v>
      </c>
      <c r="X18" s="18">
        <v>2478942.27</v>
      </c>
      <c r="Y18" s="37">
        <f>2370514.96+16769.88+1810.25</f>
        <v>2389095.09</v>
      </c>
      <c r="Z18" s="18">
        <f t="shared" si="37"/>
        <v>35.919999999925494</v>
      </c>
      <c r="AA18" s="17">
        <v>2478906.35</v>
      </c>
      <c r="AB18" s="18">
        <v>2478950.0099999998</v>
      </c>
      <c r="AC18" s="199">
        <f>2458980.14+12387.98+882.16+1100.93+2966.01+3500+4000</f>
        <v>2483817.2200000002</v>
      </c>
      <c r="AD18" s="19">
        <f t="shared" si="30"/>
        <v>43.65999999968335</v>
      </c>
      <c r="AE18" s="17">
        <f t="shared" si="21"/>
        <v>7436719.0500000007</v>
      </c>
      <c r="AF18" s="18">
        <f t="shared" si="21"/>
        <v>7436809</v>
      </c>
      <c r="AG18" s="18">
        <f t="shared" si="21"/>
        <v>7305658.6300000008</v>
      </c>
      <c r="AH18" s="19">
        <f t="shared" si="38"/>
        <v>89.949999999254942</v>
      </c>
      <c r="AI18" s="17">
        <f t="shared" si="22"/>
        <v>14873438.100000001</v>
      </c>
      <c r="AJ18" s="43">
        <f t="shared" si="22"/>
        <v>14873524.899999999</v>
      </c>
      <c r="AK18" s="43">
        <f t="shared" si="22"/>
        <v>14183985.030000001</v>
      </c>
      <c r="AL18" s="19">
        <f t="shared" si="39"/>
        <v>86.799999997019768</v>
      </c>
      <c r="AM18" s="17">
        <v>2478906.35</v>
      </c>
      <c r="AN18" s="18">
        <v>2478968.11</v>
      </c>
      <c r="AO18" s="43">
        <f>1748.06+2519381.14+12755.58+8427.8+886.75+2842.97+22.23</f>
        <v>2546064.5300000003</v>
      </c>
      <c r="AP18" s="20">
        <f t="shared" si="40"/>
        <v>61.759999999776483</v>
      </c>
      <c r="AQ18" s="17">
        <v>2478906.35</v>
      </c>
      <c r="AR18" s="18">
        <v>2478987.69</v>
      </c>
      <c r="AS18" s="43">
        <v>2483018.4</v>
      </c>
      <c r="AT18" s="20">
        <f t="shared" si="41"/>
        <v>81.339999999850988</v>
      </c>
      <c r="AU18" s="17">
        <v>2478906.35</v>
      </c>
      <c r="AV18" s="18">
        <v>2479008.11</v>
      </c>
      <c r="AW18" s="43">
        <f>2463357.37+26399.21+5390.17+1689.36+1689.22+170.38</f>
        <v>2498695.71</v>
      </c>
      <c r="AX18" s="20">
        <f t="shared" si="42"/>
        <v>101.75999999977648</v>
      </c>
      <c r="AY18" s="17">
        <f t="shared" si="23"/>
        <v>7436719.0500000007</v>
      </c>
      <c r="AZ18" s="18">
        <f t="shared" si="23"/>
        <v>7436963.9100000001</v>
      </c>
      <c r="BA18" s="18">
        <f t="shared" si="23"/>
        <v>7527778.6399999997</v>
      </c>
      <c r="BB18" s="19">
        <f t="shared" si="43"/>
        <v>244.85999999940395</v>
      </c>
      <c r="BC18" s="190">
        <f t="shared" si="24"/>
        <v>22310157.150000002</v>
      </c>
      <c r="BD18" s="84">
        <f t="shared" si="24"/>
        <v>22310488.809999999</v>
      </c>
      <c r="BE18" s="84">
        <f t="shared" si="24"/>
        <v>21711763.670000002</v>
      </c>
      <c r="BF18" s="170">
        <f t="shared" si="44"/>
        <v>331.65999999642372</v>
      </c>
      <c r="BG18" s="17">
        <v>2478906.35</v>
      </c>
      <c r="BH18" s="18">
        <v>2479001.86</v>
      </c>
      <c r="BI18" s="43">
        <f>2430658.27+4932.76+683.29+1286.65</f>
        <v>2437560.9699999997</v>
      </c>
      <c r="BJ18" s="41">
        <f t="shared" si="31"/>
        <v>95.509999999776483</v>
      </c>
      <c r="BK18" s="17">
        <v>2478906.35</v>
      </c>
      <c r="BL18" s="43">
        <f>2478983.25</f>
        <v>2478983.25</v>
      </c>
      <c r="BM18" s="43">
        <f>2358619.72+5485.35+17740.09</f>
        <v>2381845.16</v>
      </c>
      <c r="BN18" s="41">
        <f t="shared" si="45"/>
        <v>76.899999999906868</v>
      </c>
      <c r="BO18" s="17">
        <v>2478906.35</v>
      </c>
      <c r="BP18" s="43">
        <v>2478962.36</v>
      </c>
      <c r="BQ18" s="43">
        <f>2560518.73+34158.9+1325.76+2446.72+3985.38+1328.47+2195.75+207.62</f>
        <v>2606167.33</v>
      </c>
      <c r="BR18" s="41">
        <f t="shared" si="46"/>
        <v>56.009999999776483</v>
      </c>
      <c r="BS18" s="17">
        <f t="shared" si="25"/>
        <v>7436719.0500000007</v>
      </c>
      <c r="BT18" s="18">
        <f t="shared" si="25"/>
        <v>7436947.4699999988</v>
      </c>
      <c r="BU18" s="18">
        <f t="shared" si="25"/>
        <v>7425573.46</v>
      </c>
      <c r="BV18" s="20">
        <f t="shared" si="47"/>
        <v>228.41999999806285</v>
      </c>
      <c r="BW18" s="17">
        <f t="shared" si="26"/>
        <v>14873438.100000001</v>
      </c>
      <c r="BX18" s="18">
        <f t="shared" si="26"/>
        <v>14873911.379999999</v>
      </c>
      <c r="BY18" s="18">
        <f t="shared" si="26"/>
        <v>14953352.1</v>
      </c>
      <c r="BZ18" s="20">
        <f t="shared" si="48"/>
        <v>473.2799999974668</v>
      </c>
      <c r="CA18" s="17">
        <f t="shared" si="27"/>
        <v>29746876.200000003</v>
      </c>
      <c r="CB18" s="18">
        <f t="shared" si="27"/>
        <v>29747436.279999997</v>
      </c>
      <c r="CC18" s="18">
        <f t="shared" si="27"/>
        <v>29137337.130000003</v>
      </c>
      <c r="CD18" s="20">
        <f t="shared" si="32"/>
        <v>560.07999999448657</v>
      </c>
      <c r="CF18" s="3"/>
      <c r="CJ18" s="91">
        <f t="shared" si="28"/>
        <v>7436719.0500000007</v>
      </c>
      <c r="CK18" s="91">
        <f t="shared" si="28"/>
        <v>7436947.4699999988</v>
      </c>
      <c r="CL18" s="91">
        <f t="shared" si="28"/>
        <v>7425573.46</v>
      </c>
      <c r="CM18" s="91">
        <f t="shared" si="28"/>
        <v>228.41999999945983</v>
      </c>
      <c r="CN18" s="91">
        <f t="shared" si="15"/>
        <v>29746876.200000003</v>
      </c>
      <c r="CO18" s="91">
        <f t="shared" si="15"/>
        <v>29747436.279999997</v>
      </c>
      <c r="CP18" s="91">
        <f t="shared" si="15"/>
        <v>29137337.130000003</v>
      </c>
      <c r="CQ18" s="91">
        <f t="shared" si="15"/>
        <v>560.07999999681488</v>
      </c>
    </row>
    <row r="19" spans="1:95" ht="16.5" x14ac:dyDescent="0.3">
      <c r="A19" s="9"/>
      <c r="B19" s="28" t="s">
        <v>34</v>
      </c>
      <c r="C19" s="174">
        <v>533776.32999999996</v>
      </c>
      <c r="D19" s="18">
        <f>685228.84-151432.21</f>
        <v>533796.63</v>
      </c>
      <c r="E19" s="92">
        <f>617708.63+17975.14-E17</f>
        <v>495215.25</v>
      </c>
      <c r="F19" s="170">
        <f t="shared" si="33"/>
        <v>20.300000000046566</v>
      </c>
      <c r="G19" s="83">
        <v>533776.32999999996</v>
      </c>
      <c r="H19" s="18">
        <f>685249.72-151424.46</f>
        <v>533825.26</v>
      </c>
      <c r="I19" s="43">
        <f>690338.62+17263.52-156360.9</f>
        <v>551241.24</v>
      </c>
      <c r="J19" s="19">
        <f t="shared" si="34"/>
        <v>48.930000000051223</v>
      </c>
      <c r="K19" s="17">
        <v>533776.32999999996</v>
      </c>
      <c r="L19" s="18">
        <f>685248.9-151423.11</f>
        <v>533825.79</v>
      </c>
      <c r="M19" s="43">
        <f>640907.78-141580.6</f>
        <v>499327.18000000005</v>
      </c>
      <c r="N19" s="25">
        <f t="shared" si="29"/>
        <v>49.460000000079162</v>
      </c>
      <c r="O19" s="17">
        <f t="shared" si="17"/>
        <v>1601328.9899999998</v>
      </c>
      <c r="P19" s="43">
        <f t="shared" si="20"/>
        <v>1601447.6800000002</v>
      </c>
      <c r="Q19" s="43">
        <f t="shared" si="20"/>
        <v>1545783.67</v>
      </c>
      <c r="R19" s="19">
        <f t="shared" si="35"/>
        <v>118.69000000040978</v>
      </c>
      <c r="S19" s="17">
        <v>533776.32999999996</v>
      </c>
      <c r="T19" s="18">
        <f>685248.9-T17</f>
        <v>533825.79</v>
      </c>
      <c r="U19" s="43">
        <f>685841.78+12433.04-U17</f>
        <v>543974.67000000004</v>
      </c>
      <c r="V19" s="19">
        <f t="shared" si="36"/>
        <v>49.460000000079162</v>
      </c>
      <c r="W19" s="17">
        <v>533776.32999999996</v>
      </c>
      <c r="X19" s="18">
        <f>685248.5-X17</f>
        <v>533825.39</v>
      </c>
      <c r="Y19" s="37">
        <f>653992.91-Y17</f>
        <v>509535.26</v>
      </c>
      <c r="Z19" s="18">
        <f t="shared" si="37"/>
        <v>49.060000000055879</v>
      </c>
      <c r="AA19" s="17">
        <v>533776.32999999996</v>
      </c>
      <c r="AB19" s="18">
        <f>685249.53-AB17</f>
        <v>533826.42000000004</v>
      </c>
      <c r="AC19" s="199">
        <f>709674.22+920.75+2.9-AC17</f>
        <v>553572.1</v>
      </c>
      <c r="AD19" s="19">
        <f t="shared" si="30"/>
        <v>50.090000000083819</v>
      </c>
      <c r="AE19" s="17">
        <f t="shared" si="21"/>
        <v>1601328.9899999998</v>
      </c>
      <c r="AF19" s="18">
        <f t="shared" si="21"/>
        <v>1601477.6</v>
      </c>
      <c r="AG19" s="18">
        <f t="shared" si="21"/>
        <v>1607082.0300000003</v>
      </c>
      <c r="AH19" s="19">
        <f t="shared" si="38"/>
        <v>148.61000000033528</v>
      </c>
      <c r="AI19" s="17">
        <f t="shared" si="22"/>
        <v>3202657.9799999995</v>
      </c>
      <c r="AJ19" s="43">
        <f t="shared" si="22"/>
        <v>3202925.2800000003</v>
      </c>
      <c r="AK19" s="43">
        <f t="shared" si="22"/>
        <v>3152865.7</v>
      </c>
      <c r="AL19" s="19">
        <f t="shared" si="39"/>
        <v>267.30000000074506</v>
      </c>
      <c r="AM19" s="17">
        <v>533776.32999999996</v>
      </c>
      <c r="AN19" s="18">
        <f>685249.27-AN17</f>
        <v>533826.16</v>
      </c>
      <c r="AO19" s="199">
        <f>706132.69+4400.86+4508.9-AO17</f>
        <v>557032.43999999994</v>
      </c>
      <c r="AP19" s="20">
        <f t="shared" si="40"/>
        <v>49.830000000074506</v>
      </c>
      <c r="AQ19" s="17">
        <v>533776.32999999996</v>
      </c>
      <c r="AR19" s="18">
        <f>685249.27-AR17</f>
        <v>533829.19000000006</v>
      </c>
      <c r="AS19" s="43">
        <f>652341.13-AS17</f>
        <v>508492.05000000005</v>
      </c>
      <c r="AT19" s="20">
        <f t="shared" si="41"/>
        <v>52.860000000102445</v>
      </c>
      <c r="AU19" s="17">
        <v>533776.32999999996</v>
      </c>
      <c r="AV19" s="18">
        <f>685263.59-AV17</f>
        <v>533843.51</v>
      </c>
      <c r="AW19" s="43">
        <f>702912.92+5800.73+811.24-AW17</f>
        <v>552805.11</v>
      </c>
      <c r="AX19" s="20">
        <f t="shared" si="42"/>
        <v>67.180000000051223</v>
      </c>
      <c r="AY19" s="17">
        <f t="shared" si="23"/>
        <v>1601328.9899999998</v>
      </c>
      <c r="AZ19" s="18">
        <f t="shared" si="23"/>
        <v>1601498.86</v>
      </c>
      <c r="BA19" s="18">
        <f t="shared" si="23"/>
        <v>1618329.6000000001</v>
      </c>
      <c r="BB19" s="19">
        <f t="shared" si="43"/>
        <v>169.87000000034459</v>
      </c>
      <c r="BC19" s="190">
        <f t="shared" si="24"/>
        <v>4803986.9699999988</v>
      </c>
      <c r="BD19" s="84">
        <f t="shared" si="24"/>
        <v>4804424.1400000006</v>
      </c>
      <c r="BE19" s="84">
        <f t="shared" si="24"/>
        <v>4771195.3000000007</v>
      </c>
      <c r="BF19" s="170">
        <f t="shared" si="44"/>
        <v>437.17000000178814</v>
      </c>
      <c r="BG19" s="17">
        <v>533776.32999999996</v>
      </c>
      <c r="BH19" s="18">
        <f>685250.26+1349.59-BH17</f>
        <v>535192.65999999992</v>
      </c>
      <c r="BI19" s="43">
        <f>689148.32+6593.17-BI17</f>
        <v>542366.01</v>
      </c>
      <c r="BJ19" s="41">
        <f t="shared" si="31"/>
        <v>1416.3299999999581</v>
      </c>
      <c r="BK19" s="17">
        <v>533776.32999999996</v>
      </c>
      <c r="BL19" s="43">
        <f>685251.7-BL17</f>
        <v>533844.51</v>
      </c>
      <c r="BM19" s="43">
        <f>676901.69+1750.57-BM17</f>
        <v>528759.1399999999</v>
      </c>
      <c r="BN19" s="41">
        <f t="shared" si="45"/>
        <v>68.180000000051223</v>
      </c>
      <c r="BO19" s="17">
        <v>533776.32999999996</v>
      </c>
      <c r="BP19" s="43">
        <f>685273.61-BP17</f>
        <v>533864.15</v>
      </c>
      <c r="BQ19" s="43">
        <f>696463.96+14939.83-BQ17</f>
        <v>554240.7699999999</v>
      </c>
      <c r="BR19" s="41">
        <f t="shared" si="46"/>
        <v>87.820000000065193</v>
      </c>
      <c r="BS19" s="17">
        <f t="shared" si="25"/>
        <v>1601328.9899999998</v>
      </c>
      <c r="BT19" s="18">
        <f t="shared" si="25"/>
        <v>1602901.3199999998</v>
      </c>
      <c r="BU19" s="18">
        <f t="shared" si="25"/>
        <v>1625365.92</v>
      </c>
      <c r="BV19" s="20">
        <f t="shared" si="47"/>
        <v>1572.3300000000745</v>
      </c>
      <c r="BW19" s="17">
        <f t="shared" si="26"/>
        <v>3202657.9799999995</v>
      </c>
      <c r="BX19" s="18">
        <f t="shared" si="26"/>
        <v>3204400.1799999997</v>
      </c>
      <c r="BY19" s="18">
        <f t="shared" si="26"/>
        <v>3243695.52</v>
      </c>
      <c r="BZ19" s="20">
        <f t="shared" si="48"/>
        <v>1742.2000000001863</v>
      </c>
      <c r="CA19" s="17">
        <f t="shared" si="27"/>
        <v>6405315.959999999</v>
      </c>
      <c r="CB19" s="18">
        <f t="shared" si="27"/>
        <v>6407325.46</v>
      </c>
      <c r="CC19" s="18">
        <f t="shared" si="27"/>
        <v>6396561.2200000007</v>
      </c>
      <c r="CD19" s="20">
        <f t="shared" si="32"/>
        <v>2009.5000000009313</v>
      </c>
      <c r="CF19" s="3"/>
      <c r="CH19" s="3"/>
      <c r="CJ19" s="91">
        <f t="shared" si="28"/>
        <v>1601328.9899999998</v>
      </c>
      <c r="CK19" s="91">
        <f t="shared" si="28"/>
        <v>1602901.3199999998</v>
      </c>
      <c r="CL19" s="91">
        <f t="shared" si="28"/>
        <v>1625365.92</v>
      </c>
      <c r="CM19" s="91">
        <f t="shared" si="28"/>
        <v>1572.3300000000745</v>
      </c>
      <c r="CN19" s="91">
        <f t="shared" si="15"/>
        <v>6405315.959999999</v>
      </c>
      <c r="CO19" s="91">
        <f t="shared" si="15"/>
        <v>6407325.4600000009</v>
      </c>
      <c r="CP19" s="91">
        <f t="shared" si="15"/>
        <v>6396561.2200000007</v>
      </c>
      <c r="CQ19" s="91">
        <f t="shared" si="15"/>
        <v>2009.5000000011642</v>
      </c>
    </row>
    <row r="20" spans="1:95" ht="16.5" x14ac:dyDescent="0.3">
      <c r="A20" s="9"/>
      <c r="B20" s="28" t="s">
        <v>35</v>
      </c>
      <c r="C20" s="174">
        <v>154048.31</v>
      </c>
      <c r="D20" s="18">
        <f>64999.01+31768.19+57268.53</f>
        <v>154035.72999999998</v>
      </c>
      <c r="E20" s="92">
        <f>2466.52+42589.31+19788.17+51516.22-6497.45</f>
        <v>109862.77</v>
      </c>
      <c r="F20" s="170">
        <f t="shared" si="33"/>
        <v>-12.580000000016298</v>
      </c>
      <c r="G20" s="83">
        <v>154048.31</v>
      </c>
      <c r="H20" s="18">
        <f>64998.57+31768.02+57218.74</f>
        <v>153985.32999999999</v>
      </c>
      <c r="I20" s="43">
        <f>50239.57+26597.08+63706.6</f>
        <v>140543.25</v>
      </c>
      <c r="J20" s="19">
        <f t="shared" si="34"/>
        <v>-62.980000000010477</v>
      </c>
      <c r="K20" s="17">
        <v>154048.31</v>
      </c>
      <c r="L20" s="18">
        <v>153985.93</v>
      </c>
      <c r="M20" s="43">
        <f>378.79+113959.29+81.31</f>
        <v>114419.38999999998</v>
      </c>
      <c r="N20" s="25">
        <f t="shared" si="29"/>
        <v>-62.380000000004657</v>
      </c>
      <c r="O20" s="17">
        <f t="shared" si="17"/>
        <v>462144.93</v>
      </c>
      <c r="P20" s="43">
        <f t="shared" si="20"/>
        <v>462006.99</v>
      </c>
      <c r="Q20" s="43">
        <f t="shared" si="20"/>
        <v>364825.41</v>
      </c>
      <c r="R20" s="19">
        <f t="shared" si="35"/>
        <v>-137.94000000000233</v>
      </c>
      <c r="S20" s="17">
        <v>154048.31</v>
      </c>
      <c r="T20" s="18">
        <f>96767.72+57218.48</f>
        <v>153986.20000000001</v>
      </c>
      <c r="U20" s="43">
        <f>77005.27+56703.3+335.4</f>
        <v>134043.97</v>
      </c>
      <c r="V20" s="19">
        <f t="shared" si="36"/>
        <v>-62.10999999998603</v>
      </c>
      <c r="W20" s="17">
        <v>154048.31</v>
      </c>
      <c r="X20" s="18">
        <v>153986.20000000001</v>
      </c>
      <c r="Y20" s="37">
        <v>123313.24</v>
      </c>
      <c r="Z20" s="18">
        <f t="shared" si="37"/>
        <v>-62.10999999998603</v>
      </c>
      <c r="AA20" s="17">
        <v>154048.31</v>
      </c>
      <c r="AB20" s="18">
        <v>153981.21</v>
      </c>
      <c r="AC20" s="199">
        <f>1094.63+1101.24+119380.77+927.87+1541.49+958.56</f>
        <v>125004.56</v>
      </c>
      <c r="AD20" s="19">
        <f t="shared" si="30"/>
        <v>-67.100000000005821</v>
      </c>
      <c r="AE20" s="17">
        <f t="shared" si="21"/>
        <v>462144.93</v>
      </c>
      <c r="AF20" s="18">
        <f t="shared" si="21"/>
        <v>461953.61</v>
      </c>
      <c r="AG20" s="18">
        <f t="shared" si="21"/>
        <v>382361.77</v>
      </c>
      <c r="AH20" s="19">
        <f t="shared" si="38"/>
        <v>-191.32000000000698</v>
      </c>
      <c r="AI20" s="17">
        <f t="shared" si="22"/>
        <v>924289.86</v>
      </c>
      <c r="AJ20" s="43">
        <f t="shared" si="22"/>
        <v>923960.6</v>
      </c>
      <c r="AK20" s="18">
        <f t="shared" si="22"/>
        <v>747187.17999999993</v>
      </c>
      <c r="AL20" s="19">
        <f t="shared" si="39"/>
        <v>-329.26000000000931</v>
      </c>
      <c r="AM20" s="17">
        <v>154048.31</v>
      </c>
      <c r="AN20" s="18">
        <f>65027.09+31763.9+57233.67</f>
        <v>154024.65999999997</v>
      </c>
      <c r="AO20" s="199">
        <f>25.38+4184.55+51988.57+25933.97+55927.03+2442.25</f>
        <v>140501.75</v>
      </c>
      <c r="AP20" s="20">
        <f t="shared" si="40"/>
        <v>-23.650000000023283</v>
      </c>
      <c r="AQ20" s="17">
        <v>154048.31</v>
      </c>
      <c r="AR20" s="18">
        <v>154024.66</v>
      </c>
      <c r="AS20" s="43">
        <v>152918.13</v>
      </c>
      <c r="AT20" s="20">
        <f t="shared" si="41"/>
        <v>-23.649999999994179</v>
      </c>
      <c r="AU20" s="17">
        <v>154048.31</v>
      </c>
      <c r="AV20" s="18">
        <f>65027.09+31763.9+57237.78</f>
        <v>154028.76999999999</v>
      </c>
      <c r="AW20" s="43">
        <f>3698.14+53996.03+22875.61+55332.96</f>
        <v>135902.74</v>
      </c>
      <c r="AX20" s="20">
        <f t="shared" si="42"/>
        <v>-19.540000000008149</v>
      </c>
      <c r="AY20" s="17">
        <f t="shared" si="23"/>
        <v>462144.93</v>
      </c>
      <c r="AZ20" s="18">
        <f t="shared" si="23"/>
        <v>462078.08999999997</v>
      </c>
      <c r="BA20" s="18">
        <f t="shared" si="23"/>
        <v>429322.62</v>
      </c>
      <c r="BB20" s="19">
        <f t="shared" si="43"/>
        <v>-66.840000000025611</v>
      </c>
      <c r="BC20" s="190">
        <f t="shared" si="24"/>
        <v>1386434.79</v>
      </c>
      <c r="BD20" s="84">
        <f t="shared" si="24"/>
        <v>1386038.69</v>
      </c>
      <c r="BE20" s="84">
        <f t="shared" si="24"/>
        <v>1176509.7999999998</v>
      </c>
      <c r="BF20" s="170">
        <f t="shared" si="44"/>
        <v>-396.10000000009313</v>
      </c>
      <c r="BG20" s="17">
        <v>154048.31</v>
      </c>
      <c r="BH20" s="18">
        <f>65027.09+31763.9+57237.78</f>
        <v>154028.76999999999</v>
      </c>
      <c r="BI20" s="43">
        <f>4413.14+50405.81+20575.35+54606.28</f>
        <v>130000.57999999999</v>
      </c>
      <c r="BJ20" s="41">
        <f t="shared" si="31"/>
        <v>-19.540000000008149</v>
      </c>
      <c r="BK20" s="17">
        <v>154048.31</v>
      </c>
      <c r="BL20" s="43">
        <f>65027.09+31763.9+57237.56</f>
        <v>154028.54999999999</v>
      </c>
      <c r="BM20" s="43">
        <f>645.94+44925.46+25620.7+48839.9</f>
        <v>120032</v>
      </c>
      <c r="BN20" s="41">
        <f t="shared" si="45"/>
        <v>-19.760000000009313</v>
      </c>
      <c r="BO20" s="17">
        <v>154048.31</v>
      </c>
      <c r="BP20" s="43">
        <f>65027.09+31763.9+57237.56</f>
        <v>154028.54999999999</v>
      </c>
      <c r="BQ20" s="43">
        <f>2932.62+54935.2+33344.55+57978.63</f>
        <v>149191</v>
      </c>
      <c r="BR20" s="41">
        <f t="shared" si="46"/>
        <v>-19.760000000009313</v>
      </c>
      <c r="BS20" s="17">
        <f t="shared" si="25"/>
        <v>462144.93</v>
      </c>
      <c r="BT20" s="18">
        <f t="shared" si="25"/>
        <v>462085.86999999994</v>
      </c>
      <c r="BU20" s="18">
        <f t="shared" si="25"/>
        <v>399223.57999999996</v>
      </c>
      <c r="BV20" s="20">
        <f t="shared" si="47"/>
        <v>-59.060000000055879</v>
      </c>
      <c r="BW20" s="17">
        <f t="shared" si="26"/>
        <v>924289.86</v>
      </c>
      <c r="BX20" s="18">
        <f t="shared" si="26"/>
        <v>924163.96</v>
      </c>
      <c r="BY20" s="18">
        <f t="shared" si="26"/>
        <v>828546.2</v>
      </c>
      <c r="BZ20" s="20">
        <f t="shared" si="48"/>
        <v>-125.90000000002328</v>
      </c>
      <c r="CA20" s="17">
        <f t="shared" si="27"/>
        <v>1848579.72</v>
      </c>
      <c r="CB20" s="18">
        <f t="shared" si="27"/>
        <v>1848124.56</v>
      </c>
      <c r="CC20" s="18">
        <f t="shared" si="27"/>
        <v>1575733.38</v>
      </c>
      <c r="CD20" s="20">
        <f t="shared" si="32"/>
        <v>-455.15999999991618</v>
      </c>
      <c r="CE20" s="93"/>
      <c r="CF20" s="3"/>
      <c r="CG20" s="94"/>
      <c r="CH20" s="93"/>
      <c r="CI20" s="94"/>
      <c r="CJ20" s="91">
        <f t="shared" si="28"/>
        <v>462144.93</v>
      </c>
      <c r="CK20" s="91">
        <f t="shared" si="28"/>
        <v>462085.86999999994</v>
      </c>
      <c r="CL20" s="91">
        <f t="shared" si="28"/>
        <v>399223.57999999996</v>
      </c>
      <c r="CM20" s="91">
        <f t="shared" si="28"/>
        <v>-59.060000000026776</v>
      </c>
      <c r="CN20" s="91">
        <f t="shared" si="15"/>
        <v>1848579.72</v>
      </c>
      <c r="CO20" s="91">
        <f t="shared" si="15"/>
        <v>1848124.5599999998</v>
      </c>
      <c r="CP20" s="91">
        <f t="shared" si="15"/>
        <v>1575733.38</v>
      </c>
      <c r="CQ20" s="91">
        <f t="shared" si="15"/>
        <v>-455.1600000000617</v>
      </c>
    </row>
    <row r="21" spans="1:95" ht="16.5" x14ac:dyDescent="0.3">
      <c r="A21" s="9"/>
      <c r="B21" s="28" t="s">
        <v>169</v>
      </c>
      <c r="C21" s="174"/>
      <c r="D21" s="18"/>
      <c r="E21" s="92"/>
      <c r="F21" s="170"/>
      <c r="G21" s="83"/>
      <c r="H21" s="18"/>
      <c r="I21" s="43"/>
      <c r="J21" s="19"/>
      <c r="K21" s="17"/>
      <c r="L21" s="18"/>
      <c r="M21" s="43">
        <v>124370.86</v>
      </c>
      <c r="N21" s="25"/>
      <c r="O21" s="17">
        <f t="shared" si="17"/>
        <v>0</v>
      </c>
      <c r="P21" s="43"/>
      <c r="Q21" s="43">
        <f t="shared" si="20"/>
        <v>124370.86</v>
      </c>
      <c r="R21" s="19"/>
      <c r="S21" s="17"/>
      <c r="T21" s="18"/>
      <c r="U21" s="43"/>
      <c r="V21" s="19"/>
      <c r="W21" s="17"/>
      <c r="X21" s="18"/>
      <c r="Y21" s="37">
        <v>-116330.39</v>
      </c>
      <c r="Z21" s="18"/>
      <c r="AA21" s="17"/>
      <c r="AB21" s="18"/>
      <c r="AC21" s="199">
        <v>9590.85</v>
      </c>
      <c r="AD21" s="19"/>
      <c r="AE21" s="17">
        <f t="shared" si="21"/>
        <v>0</v>
      </c>
      <c r="AF21" s="18"/>
      <c r="AG21" s="18">
        <f t="shared" si="21"/>
        <v>-106739.54</v>
      </c>
      <c r="AH21" s="19"/>
      <c r="AI21" s="17"/>
      <c r="AJ21" s="43"/>
      <c r="AK21" s="18">
        <f t="shared" si="22"/>
        <v>17631.320000000007</v>
      </c>
      <c r="AL21" s="19"/>
      <c r="AM21" s="17"/>
      <c r="AN21" s="18"/>
      <c r="AO21" s="199">
        <f>50900.95-550.5</f>
        <v>50350.45</v>
      </c>
      <c r="AP21" s="20"/>
      <c r="AQ21" s="17"/>
      <c r="AR21" s="18"/>
      <c r="AS21" s="43"/>
      <c r="AT21" s="20"/>
      <c r="AU21" s="17"/>
      <c r="AV21" s="18"/>
      <c r="AW21" s="43">
        <v>33727.760000000002</v>
      </c>
      <c r="AX21" s="20"/>
      <c r="AY21" s="17"/>
      <c r="AZ21" s="18"/>
      <c r="BA21" s="18">
        <f t="shared" si="23"/>
        <v>84078.209999999992</v>
      </c>
      <c r="BB21" s="19"/>
      <c r="BC21" s="190"/>
      <c r="BD21" s="84"/>
      <c r="BE21" s="84">
        <f t="shared" si="24"/>
        <v>101709.53</v>
      </c>
      <c r="BF21" s="170"/>
      <c r="BG21" s="83"/>
      <c r="BH21" s="18"/>
      <c r="BI21" s="43">
        <v>54339.5</v>
      </c>
      <c r="BJ21" s="41"/>
      <c r="BK21" s="44"/>
      <c r="BL21" s="43"/>
      <c r="BM21" s="43">
        <v>-8547.56</v>
      </c>
      <c r="BN21" s="41"/>
      <c r="BO21" s="44"/>
      <c r="BP21" s="43"/>
      <c r="BQ21" s="43">
        <v>133749.65</v>
      </c>
      <c r="BR21" s="41"/>
      <c r="BS21" s="17"/>
      <c r="BT21" s="18"/>
      <c r="BU21" s="18">
        <f t="shared" si="25"/>
        <v>179541.59</v>
      </c>
      <c r="BV21" s="20"/>
      <c r="BW21" s="17"/>
      <c r="BX21" s="18"/>
      <c r="BY21" s="18">
        <f t="shared" si="26"/>
        <v>263619.8</v>
      </c>
      <c r="BZ21" s="20"/>
      <c r="CA21" s="17"/>
      <c r="CB21" s="18"/>
      <c r="CC21" s="18">
        <f t="shared" si="27"/>
        <v>281251.12</v>
      </c>
      <c r="CD21" s="20"/>
      <c r="CE21" s="93"/>
      <c r="CF21" s="3"/>
      <c r="CG21" s="94"/>
      <c r="CH21" s="93"/>
      <c r="CI21" s="94"/>
      <c r="CJ21" s="91"/>
      <c r="CK21" s="91"/>
      <c r="CL21" s="91"/>
      <c r="CM21" s="91"/>
      <c r="CN21" s="91"/>
      <c r="CO21" s="91"/>
      <c r="CP21" s="91"/>
      <c r="CQ21" s="91"/>
    </row>
    <row r="22" spans="1:95" ht="16.5" x14ac:dyDescent="0.3">
      <c r="A22" s="9">
        <v>2</v>
      </c>
      <c r="B22" s="29" t="s">
        <v>36</v>
      </c>
      <c r="C22" s="174">
        <v>193431.35</v>
      </c>
      <c r="D22" s="18">
        <f>204121.33-5457</f>
        <v>198664.33</v>
      </c>
      <c r="E22" s="43">
        <v>111809.07</v>
      </c>
      <c r="F22" s="170">
        <f t="shared" si="33"/>
        <v>5232.9799999999814</v>
      </c>
      <c r="G22" s="83">
        <v>193431.35</v>
      </c>
      <c r="H22" s="18">
        <v>257766.99</v>
      </c>
      <c r="I22" s="43">
        <f>262530.25-6136.8-4050</f>
        <v>252343.45</v>
      </c>
      <c r="J22" s="19">
        <f t="shared" si="34"/>
        <v>64335.639999999985</v>
      </c>
      <c r="K22" s="17">
        <v>193431.35</v>
      </c>
      <c r="L22" s="18">
        <v>201107.72</v>
      </c>
      <c r="M22" s="43">
        <f>219592.17+1174.78</f>
        <v>220766.95</v>
      </c>
      <c r="N22" s="25">
        <f t="shared" si="29"/>
        <v>7676.3699999999953</v>
      </c>
      <c r="O22" s="25">
        <f t="shared" si="17"/>
        <v>580294.05000000005</v>
      </c>
      <c r="P22" s="95">
        <f t="shared" si="20"/>
        <v>657539.03999999992</v>
      </c>
      <c r="Q22" s="95">
        <f>M22+I22+E22</f>
        <v>584919.47</v>
      </c>
      <c r="R22" s="30">
        <f t="shared" si="35"/>
        <v>77244.989999999874</v>
      </c>
      <c r="S22" s="25">
        <v>193431.35</v>
      </c>
      <c r="T22" s="31">
        <v>219747.31</v>
      </c>
      <c r="U22" s="95">
        <v>159328.79999999999</v>
      </c>
      <c r="V22" s="30">
        <f t="shared" si="36"/>
        <v>26315.959999999992</v>
      </c>
      <c r="W22" s="25">
        <v>193431.35</v>
      </c>
      <c r="X22" s="31">
        <v>200380.38</v>
      </c>
      <c r="Y22" s="40">
        <v>166823.70000000001</v>
      </c>
      <c r="Z22" s="18">
        <f t="shared" si="37"/>
        <v>6949.0299999999988</v>
      </c>
      <c r="AA22" s="25">
        <v>193431.35</v>
      </c>
      <c r="AB22" s="31">
        <v>204366.52</v>
      </c>
      <c r="AC22" s="200">
        <v>197024.02</v>
      </c>
      <c r="AD22" s="19">
        <f t="shared" si="30"/>
        <v>10935.169999999984</v>
      </c>
      <c r="AE22" s="25">
        <f t="shared" si="21"/>
        <v>580294.05000000005</v>
      </c>
      <c r="AF22" s="31">
        <f t="shared" si="21"/>
        <v>624494.21</v>
      </c>
      <c r="AG22" s="31">
        <f>U22+Y22+AC22</f>
        <v>523176.52</v>
      </c>
      <c r="AH22" s="30">
        <f t="shared" si="38"/>
        <v>44200.159999999916</v>
      </c>
      <c r="AI22" s="25">
        <f t="shared" ref="AI22:AK23" si="49">AE22+O22</f>
        <v>1160588.1000000001</v>
      </c>
      <c r="AJ22" s="31">
        <f t="shared" si="49"/>
        <v>1282033.25</v>
      </c>
      <c r="AK22" s="31">
        <f>AG22+Q22</f>
        <v>1108095.99</v>
      </c>
      <c r="AL22" s="30">
        <f t="shared" si="39"/>
        <v>121445.14999999991</v>
      </c>
      <c r="AM22" s="17">
        <v>193431.35</v>
      </c>
      <c r="AN22" s="18">
        <v>218869.38</v>
      </c>
      <c r="AO22" s="199">
        <v>196361.12</v>
      </c>
      <c r="AP22" s="20">
        <f t="shared" si="40"/>
        <v>25438.03</v>
      </c>
      <c r="AQ22" s="17">
        <v>193431.35</v>
      </c>
      <c r="AR22" s="18">
        <v>201956.64</v>
      </c>
      <c r="AS22" s="43">
        <f>274510.2-5454</f>
        <v>269056.2</v>
      </c>
      <c r="AT22" s="20">
        <f t="shared" si="41"/>
        <v>8525.2900000000081</v>
      </c>
      <c r="AU22" s="17">
        <v>193431.35</v>
      </c>
      <c r="AV22" s="18">
        <v>206121.63</v>
      </c>
      <c r="AW22" s="43">
        <f>167639.92+13485.06</f>
        <v>181124.98</v>
      </c>
      <c r="AX22" s="20">
        <f t="shared" si="42"/>
        <v>12690.279999999999</v>
      </c>
      <c r="AY22" s="17">
        <f t="shared" si="23"/>
        <v>580294.05000000005</v>
      </c>
      <c r="AZ22" s="31">
        <f t="shared" si="23"/>
        <v>626947.65</v>
      </c>
      <c r="BA22" s="31">
        <f>AO22+AS22+AW22</f>
        <v>646542.30000000005</v>
      </c>
      <c r="BB22" s="30">
        <f t="shared" si="43"/>
        <v>46653.599999999977</v>
      </c>
      <c r="BC22" s="191">
        <f t="shared" si="24"/>
        <v>1740882.1500000001</v>
      </c>
      <c r="BD22" s="96">
        <f t="shared" si="24"/>
        <v>1908980.9</v>
      </c>
      <c r="BE22" s="96">
        <f t="shared" si="24"/>
        <v>1754638.29</v>
      </c>
      <c r="BF22" s="178">
        <f t="shared" si="44"/>
        <v>168098.74999999977</v>
      </c>
      <c r="BG22" s="17">
        <v>193431.35</v>
      </c>
      <c r="BH22" s="31">
        <v>212448.22</v>
      </c>
      <c r="BI22" s="95">
        <v>129683.89</v>
      </c>
      <c r="BJ22" s="27">
        <f t="shared" si="31"/>
        <v>19016.869999999995</v>
      </c>
      <c r="BK22" s="90">
        <v>193431.35</v>
      </c>
      <c r="BL22" s="95">
        <v>201448.57</v>
      </c>
      <c r="BM22" s="95">
        <v>161789.92000000001</v>
      </c>
      <c r="BN22" s="27">
        <f t="shared" si="45"/>
        <v>8017.2200000000012</v>
      </c>
      <c r="BO22" s="25">
        <v>193431.35</v>
      </c>
      <c r="BP22" s="95">
        <v>201966.5</v>
      </c>
      <c r="BQ22" s="95">
        <v>303511.88</v>
      </c>
      <c r="BR22" s="27">
        <f t="shared" si="46"/>
        <v>8535.1499999999942</v>
      </c>
      <c r="BS22" s="25">
        <f t="shared" si="25"/>
        <v>580294.05000000005</v>
      </c>
      <c r="BT22" s="31">
        <f t="shared" si="25"/>
        <v>615863.29</v>
      </c>
      <c r="BU22" s="31">
        <f>BI22+BM22+BQ22</f>
        <v>594985.68999999994</v>
      </c>
      <c r="BV22" s="20">
        <f t="shared" si="47"/>
        <v>35569.239999999991</v>
      </c>
      <c r="BW22" s="25">
        <f t="shared" si="26"/>
        <v>1160588.1000000001</v>
      </c>
      <c r="BX22" s="31">
        <f t="shared" si="26"/>
        <v>1242810.94</v>
      </c>
      <c r="BY22" s="31">
        <f>BU22+BA22</f>
        <v>1241527.99</v>
      </c>
      <c r="BZ22" s="32">
        <f t="shared" si="48"/>
        <v>82222.839999999851</v>
      </c>
      <c r="CA22" s="25">
        <f t="shared" si="27"/>
        <v>2321176.2000000002</v>
      </c>
      <c r="CB22" s="25">
        <f t="shared" ref="CB22:CB23" si="50">BX22+AJ22</f>
        <v>2524844.19</v>
      </c>
      <c r="CC22" s="25">
        <f t="shared" ref="CC22:CC23" si="51">BY22+AK22</f>
        <v>2349623.98</v>
      </c>
      <c r="CD22" s="32">
        <f>CB22-CA22</f>
        <v>203667.98999999976</v>
      </c>
      <c r="CF22" s="3"/>
      <c r="CG22" s="3"/>
      <c r="CJ22" s="209">
        <f t="shared" si="28"/>
        <v>580294.05000000005</v>
      </c>
      <c r="CK22" s="209">
        <f t="shared" si="28"/>
        <v>615863.29</v>
      </c>
      <c r="CL22" s="209">
        <f t="shared" si="28"/>
        <v>594985.68999999994</v>
      </c>
      <c r="CM22" s="209">
        <f t="shared" si="28"/>
        <v>35569.239999999991</v>
      </c>
      <c r="CN22" s="209">
        <f t="shared" si="15"/>
        <v>2321176.2000000002</v>
      </c>
      <c r="CO22" s="209">
        <f t="shared" si="15"/>
        <v>2524844.19</v>
      </c>
      <c r="CP22" s="209">
        <f t="shared" si="15"/>
        <v>2349623.98</v>
      </c>
      <c r="CQ22" s="209">
        <f t="shared" si="15"/>
        <v>203667.98999999976</v>
      </c>
    </row>
    <row r="23" spans="1:95" ht="16.5" x14ac:dyDescent="0.3">
      <c r="A23" s="9">
        <v>3</v>
      </c>
      <c r="B23" s="33" t="s">
        <v>37</v>
      </c>
      <c r="C23" s="174">
        <v>23500</v>
      </c>
      <c r="D23" s="18">
        <v>23316.55</v>
      </c>
      <c r="E23" s="43">
        <f>22971.55+345</f>
        <v>23316.55</v>
      </c>
      <c r="F23" s="170">
        <f t="shared" si="33"/>
        <v>-183.45000000000073</v>
      </c>
      <c r="G23" s="83">
        <v>23500</v>
      </c>
      <c r="H23" s="43">
        <v>41227</v>
      </c>
      <c r="I23" s="43">
        <f>36057+1120+4050</f>
        <v>41227</v>
      </c>
      <c r="J23" s="19">
        <f t="shared" si="34"/>
        <v>17727</v>
      </c>
      <c r="K23" s="17">
        <v>23500</v>
      </c>
      <c r="L23" s="18">
        <f>42429.5+2822.5</f>
        <v>45252</v>
      </c>
      <c r="M23" s="43">
        <f>42429.5+2822.5</f>
        <v>45252</v>
      </c>
      <c r="N23" s="31">
        <f t="shared" si="29"/>
        <v>21752</v>
      </c>
      <c r="O23" s="25">
        <f>C23+G23+K23</f>
        <v>70500</v>
      </c>
      <c r="P23" s="95">
        <f t="shared" si="20"/>
        <v>109795.55</v>
      </c>
      <c r="Q23" s="95">
        <f t="shared" si="20"/>
        <v>109795.55</v>
      </c>
      <c r="R23" s="30">
        <f t="shared" si="35"/>
        <v>39295.550000000003</v>
      </c>
      <c r="S23" s="25">
        <v>23500</v>
      </c>
      <c r="T23" s="31">
        <v>18175.5</v>
      </c>
      <c r="U23" s="95">
        <v>18175.5</v>
      </c>
      <c r="V23" s="30">
        <f t="shared" si="36"/>
        <v>-5324.5</v>
      </c>
      <c r="W23" s="25">
        <v>23500</v>
      </c>
      <c r="X23" s="40">
        <f>17910+1802.5</f>
        <v>19712.5</v>
      </c>
      <c r="Y23" s="40">
        <f>17910+1802.5</f>
        <v>19712.5</v>
      </c>
      <c r="Z23" s="18">
        <f t="shared" si="37"/>
        <v>-3787.5</v>
      </c>
      <c r="AA23" s="25">
        <v>23500</v>
      </c>
      <c r="AB23" s="31">
        <v>33862</v>
      </c>
      <c r="AC23" s="200">
        <v>33862</v>
      </c>
      <c r="AD23" s="19">
        <f t="shared" si="30"/>
        <v>10362</v>
      </c>
      <c r="AE23" s="25">
        <f t="shared" si="21"/>
        <v>70500</v>
      </c>
      <c r="AF23" s="31">
        <f t="shared" si="21"/>
        <v>71750</v>
      </c>
      <c r="AG23" s="31">
        <f t="shared" si="21"/>
        <v>71750</v>
      </c>
      <c r="AH23" s="30">
        <f t="shared" si="38"/>
        <v>1250</v>
      </c>
      <c r="AI23" s="25">
        <f t="shared" si="49"/>
        <v>141000</v>
      </c>
      <c r="AJ23" s="31">
        <f t="shared" si="49"/>
        <v>181545.55</v>
      </c>
      <c r="AK23" s="31">
        <f t="shared" si="49"/>
        <v>181545.55</v>
      </c>
      <c r="AL23" s="30">
        <f t="shared" si="39"/>
        <v>40545.549999999988</v>
      </c>
      <c r="AM23" s="17">
        <v>23500</v>
      </c>
      <c r="AN23" s="18">
        <v>49339</v>
      </c>
      <c r="AO23" s="199">
        <v>49339</v>
      </c>
      <c r="AP23" s="20">
        <f t="shared" si="40"/>
        <v>25839</v>
      </c>
      <c r="AQ23" s="17">
        <v>23500</v>
      </c>
      <c r="AR23" s="18">
        <f>AS23</f>
        <v>18871.5</v>
      </c>
      <c r="AS23" s="43">
        <f>3262+18347-2450-287.5</f>
        <v>18871.5</v>
      </c>
      <c r="AT23" s="20">
        <f t="shared" si="41"/>
        <v>-4628.5</v>
      </c>
      <c r="AU23" s="17">
        <v>23500</v>
      </c>
      <c r="AV23" s="18">
        <f>70080.7-200</f>
        <v>69880.7</v>
      </c>
      <c r="AW23" s="43">
        <f>8181+64114.7-2215-200</f>
        <v>69880.7</v>
      </c>
      <c r="AX23" s="20">
        <f t="shared" si="42"/>
        <v>46380.7</v>
      </c>
      <c r="AY23" s="17">
        <f t="shared" si="23"/>
        <v>70500</v>
      </c>
      <c r="AZ23" s="31">
        <f t="shared" si="23"/>
        <v>138091.20000000001</v>
      </c>
      <c r="BA23" s="31">
        <f t="shared" si="23"/>
        <v>138091.20000000001</v>
      </c>
      <c r="BB23" s="30">
        <f t="shared" si="43"/>
        <v>67591.200000000012</v>
      </c>
      <c r="BC23" s="191">
        <f t="shared" si="24"/>
        <v>211500</v>
      </c>
      <c r="BD23" s="96">
        <f t="shared" si="24"/>
        <v>319636.75</v>
      </c>
      <c r="BE23" s="96">
        <f t="shared" si="24"/>
        <v>319636.75</v>
      </c>
      <c r="BF23" s="178">
        <f t="shared" si="44"/>
        <v>108136.75</v>
      </c>
      <c r="BG23" s="17">
        <v>23500</v>
      </c>
      <c r="BH23" s="31">
        <v>17712</v>
      </c>
      <c r="BI23" s="95">
        <v>17712</v>
      </c>
      <c r="BJ23" s="27">
        <f t="shared" si="31"/>
        <v>-5788</v>
      </c>
      <c r="BK23" s="90">
        <v>23500</v>
      </c>
      <c r="BL23" s="95">
        <v>29730</v>
      </c>
      <c r="BM23" s="95">
        <v>29730</v>
      </c>
      <c r="BN23" s="27">
        <f t="shared" si="45"/>
        <v>6230</v>
      </c>
      <c r="BO23" s="25">
        <v>23500</v>
      </c>
      <c r="BP23" s="95">
        <v>24688.5</v>
      </c>
      <c r="BQ23" s="95">
        <f>16753.5+6765+2520-1350</f>
        <v>24688.5</v>
      </c>
      <c r="BR23" s="27">
        <f t="shared" si="46"/>
        <v>1188.5</v>
      </c>
      <c r="BS23" s="25">
        <f t="shared" si="25"/>
        <v>70500</v>
      </c>
      <c r="BT23" s="31">
        <f t="shared" si="25"/>
        <v>72130.5</v>
      </c>
      <c r="BU23" s="31">
        <f>BI23+BM23+BQ23</f>
        <v>72130.5</v>
      </c>
      <c r="BV23" s="20">
        <f t="shared" si="47"/>
        <v>1630.5</v>
      </c>
      <c r="BW23" s="25">
        <f t="shared" si="26"/>
        <v>141000</v>
      </c>
      <c r="BX23" s="31">
        <f t="shared" si="26"/>
        <v>210221.7</v>
      </c>
      <c r="BY23" s="31">
        <f t="shared" si="26"/>
        <v>210221.7</v>
      </c>
      <c r="BZ23" s="32">
        <f t="shared" si="48"/>
        <v>69221.700000000012</v>
      </c>
      <c r="CA23" s="25">
        <f t="shared" si="27"/>
        <v>282000</v>
      </c>
      <c r="CB23" s="25">
        <f t="shared" si="50"/>
        <v>391767.25</v>
      </c>
      <c r="CC23" s="25">
        <f t="shared" si="51"/>
        <v>391767.25</v>
      </c>
      <c r="CD23" s="32">
        <f t="shared" ref="CD23:CD24" si="52">CB23-CA23</f>
        <v>109767.25</v>
      </c>
      <c r="CF23" s="3"/>
      <c r="CJ23" s="209">
        <f t="shared" si="28"/>
        <v>70500</v>
      </c>
      <c r="CK23" s="209">
        <f t="shared" si="28"/>
        <v>72130.5</v>
      </c>
      <c r="CL23" s="209">
        <f t="shared" si="28"/>
        <v>72130.5</v>
      </c>
      <c r="CM23" s="209">
        <f t="shared" si="28"/>
        <v>1630.5</v>
      </c>
      <c r="CN23" s="209">
        <f t="shared" si="15"/>
        <v>282000</v>
      </c>
      <c r="CO23" s="209">
        <f t="shared" si="15"/>
        <v>391767.25</v>
      </c>
      <c r="CP23" s="209">
        <f t="shared" si="15"/>
        <v>391767.25</v>
      </c>
      <c r="CQ23" s="209">
        <f t="shared" si="15"/>
        <v>109767.25000000001</v>
      </c>
    </row>
    <row r="24" spans="1:95" ht="16.5" x14ac:dyDescent="0.3">
      <c r="A24" s="9">
        <v>4</v>
      </c>
      <c r="B24" s="33" t="s">
        <v>38</v>
      </c>
      <c r="C24" s="168">
        <f>C25+C26+C27</f>
        <v>81120</v>
      </c>
      <c r="D24" s="25">
        <f>D25+D26+D27</f>
        <v>71850</v>
      </c>
      <c r="E24" s="90">
        <f>E25+E26+E27</f>
        <v>46800</v>
      </c>
      <c r="F24" s="170">
        <f t="shared" si="33"/>
        <v>-9270</v>
      </c>
      <c r="G24" s="89">
        <f>G25+G26+G27</f>
        <v>81120</v>
      </c>
      <c r="H24" s="25">
        <f>H25+H26+H27</f>
        <v>86490</v>
      </c>
      <c r="I24" s="90">
        <f>I25+I26+I27</f>
        <v>95720</v>
      </c>
      <c r="J24" s="19">
        <f t="shared" si="34"/>
        <v>5370</v>
      </c>
      <c r="K24" s="25">
        <f>K25+K26+K27</f>
        <v>81120</v>
      </c>
      <c r="L24" s="31">
        <f>L25+L26+L27</f>
        <v>111540</v>
      </c>
      <c r="M24" s="95">
        <f>M25+M26+M27</f>
        <v>96900</v>
      </c>
      <c r="N24" s="31">
        <f t="shared" si="29"/>
        <v>30420</v>
      </c>
      <c r="O24" s="25">
        <f>C24+G24+K24</f>
        <v>243360</v>
      </c>
      <c r="P24" s="95">
        <f t="shared" si="20"/>
        <v>269880</v>
      </c>
      <c r="Q24" s="95">
        <f t="shared" si="20"/>
        <v>239420</v>
      </c>
      <c r="R24" s="30">
        <f t="shared" si="35"/>
        <v>26520</v>
      </c>
      <c r="S24" s="25">
        <f>S25+S26+S27</f>
        <v>81120</v>
      </c>
      <c r="T24" s="31">
        <f>T25+T26+T27</f>
        <v>89460</v>
      </c>
      <c r="U24" s="31">
        <f>U25+U26+U27</f>
        <v>49770</v>
      </c>
      <c r="V24" s="30">
        <f t="shared" si="36"/>
        <v>8340</v>
      </c>
      <c r="W24" s="25">
        <f>W25+W26+W27</f>
        <v>81120</v>
      </c>
      <c r="X24" s="31">
        <f>X25+X26+X27</f>
        <v>86490</v>
      </c>
      <c r="Y24" s="40">
        <f>Y25+Y26+Y27</f>
        <v>152490</v>
      </c>
      <c r="Z24" s="31">
        <f t="shared" si="37"/>
        <v>5370</v>
      </c>
      <c r="AA24" s="89">
        <f>AA25+AA26+AA27</f>
        <v>81120</v>
      </c>
      <c r="AB24" s="31">
        <f>AB25+AB26+AB27</f>
        <v>86490</v>
      </c>
      <c r="AC24" s="200">
        <f>AC25+AC26+AC27</f>
        <v>86490</v>
      </c>
      <c r="AD24" s="30">
        <f t="shared" si="30"/>
        <v>5370</v>
      </c>
      <c r="AE24" s="25">
        <f t="shared" si="21"/>
        <v>243360</v>
      </c>
      <c r="AF24" s="31">
        <f>AF25+AF26+AF27</f>
        <v>262440</v>
      </c>
      <c r="AG24" s="31">
        <f>AG25+AG26+AG27</f>
        <v>288750</v>
      </c>
      <c r="AH24" s="19">
        <f t="shared" si="38"/>
        <v>19080</v>
      </c>
      <c r="AI24" s="25">
        <f>AI25+AI26+AI27</f>
        <v>486720</v>
      </c>
      <c r="AJ24" s="31">
        <f>AJ25+AJ26+AJ27</f>
        <v>532320</v>
      </c>
      <c r="AK24" s="31">
        <f>AK25+AK26+AK27</f>
        <v>528170</v>
      </c>
      <c r="AL24" s="30">
        <f t="shared" si="39"/>
        <v>45600</v>
      </c>
      <c r="AM24" s="25">
        <f>AM25+AM26+AM27</f>
        <v>81120</v>
      </c>
      <c r="AN24" s="31">
        <f>AN25+AN26+AN27</f>
        <v>86490</v>
      </c>
      <c r="AO24" s="200">
        <f>AO25+AO26+AO27</f>
        <v>86490</v>
      </c>
      <c r="AP24" s="32">
        <f t="shared" si="40"/>
        <v>5370</v>
      </c>
      <c r="AQ24" s="25">
        <f>AQ25+AQ26+AQ27</f>
        <v>81120</v>
      </c>
      <c r="AR24" s="31">
        <f>AR25+AR26+AR27</f>
        <v>86490</v>
      </c>
      <c r="AS24" s="31">
        <f>AS25+AS26+AS27</f>
        <v>86490</v>
      </c>
      <c r="AT24" s="32">
        <f t="shared" si="41"/>
        <v>5370</v>
      </c>
      <c r="AU24" s="25">
        <f>AU25+AU26+AU27</f>
        <v>81120</v>
      </c>
      <c r="AV24" s="31">
        <f>AV25+AV26+AV27</f>
        <v>86490</v>
      </c>
      <c r="AW24" s="95">
        <f>AW25+AW26+AW27</f>
        <v>64410</v>
      </c>
      <c r="AX24" s="32">
        <f t="shared" si="42"/>
        <v>5370</v>
      </c>
      <c r="AY24" s="25">
        <f>AY25+AY26+AY27</f>
        <v>243360</v>
      </c>
      <c r="AZ24" s="31">
        <f>AZ25+AZ26+AZ27</f>
        <v>259470</v>
      </c>
      <c r="BA24" s="31">
        <f>BA25+BA26+BA27</f>
        <v>237390</v>
      </c>
      <c r="BB24" s="30">
        <f t="shared" si="43"/>
        <v>16110</v>
      </c>
      <c r="BC24" s="191">
        <f t="shared" si="24"/>
        <v>730080</v>
      </c>
      <c r="BD24" s="96">
        <f t="shared" si="24"/>
        <v>791790</v>
      </c>
      <c r="BE24" s="96">
        <f t="shared" si="24"/>
        <v>765560</v>
      </c>
      <c r="BF24" s="178">
        <f t="shared" si="44"/>
        <v>61710</v>
      </c>
      <c r="BG24" s="89">
        <f>BG25+BG26+BG27</f>
        <v>81120</v>
      </c>
      <c r="BH24" s="31">
        <f>BH25+BH27</f>
        <v>86490</v>
      </c>
      <c r="BI24" s="95">
        <f>BI25+BI26+BI27</f>
        <v>108570</v>
      </c>
      <c r="BJ24" s="27">
        <f t="shared" si="31"/>
        <v>5370</v>
      </c>
      <c r="BK24" s="90">
        <f>BK25+BK26+BK27</f>
        <v>81120</v>
      </c>
      <c r="BL24" s="90">
        <f>BL25+BL26+BL27</f>
        <v>86490</v>
      </c>
      <c r="BM24" s="95">
        <f>BM25+BM27</f>
        <v>86490</v>
      </c>
      <c r="BN24" s="27">
        <f t="shared" si="45"/>
        <v>5370</v>
      </c>
      <c r="BO24" s="90">
        <f>BO25+BO26+BO27</f>
        <v>81120</v>
      </c>
      <c r="BP24" s="90">
        <f>BP25+BP26+BP27</f>
        <v>86490</v>
      </c>
      <c r="BQ24" s="90">
        <f>BQ25+BQ26+BQ27</f>
        <v>86490</v>
      </c>
      <c r="BR24" s="27">
        <f t="shared" si="46"/>
        <v>5370</v>
      </c>
      <c r="BS24" s="25">
        <f t="shared" si="25"/>
        <v>243360</v>
      </c>
      <c r="BT24" s="31">
        <f t="shared" si="25"/>
        <v>259470</v>
      </c>
      <c r="BU24" s="31">
        <f>BI24+BM24+BQ24</f>
        <v>281550</v>
      </c>
      <c r="BV24" s="20">
        <f t="shared" si="47"/>
        <v>16110</v>
      </c>
      <c r="BW24" s="25">
        <f t="shared" si="26"/>
        <v>486720</v>
      </c>
      <c r="BX24" s="31">
        <f t="shared" si="26"/>
        <v>518940</v>
      </c>
      <c r="BY24" s="31">
        <f t="shared" si="26"/>
        <v>518940</v>
      </c>
      <c r="BZ24" s="20">
        <f t="shared" si="48"/>
        <v>32220</v>
      </c>
      <c r="CA24" s="95">
        <f t="shared" ref="CA24:CC24" si="53">CA25+CA26+CA27</f>
        <v>973440</v>
      </c>
      <c r="CB24" s="95">
        <f t="shared" si="53"/>
        <v>1051260</v>
      </c>
      <c r="CC24" s="95">
        <f t="shared" si="53"/>
        <v>1047110</v>
      </c>
      <c r="CD24" s="32">
        <f t="shared" si="52"/>
        <v>77820</v>
      </c>
      <c r="CF24" s="3"/>
      <c r="CH24" s="3"/>
      <c r="CJ24" s="209">
        <f>SUM(CJ25:CJ27)</f>
        <v>243360</v>
      </c>
      <c r="CK24" s="209">
        <f>SUM(CK25:CK27)</f>
        <v>259470</v>
      </c>
      <c r="CL24" s="209">
        <f>SUM(CL25:CL27)</f>
        <v>281550</v>
      </c>
      <c r="CM24" s="209">
        <f>SUM(CM25:CM27)</f>
        <v>16110</v>
      </c>
      <c r="CN24" s="209">
        <f t="shared" si="15"/>
        <v>973440</v>
      </c>
      <c r="CO24" s="209">
        <f t="shared" si="15"/>
        <v>1051260</v>
      </c>
      <c r="CP24" s="209">
        <f t="shared" si="15"/>
        <v>1047110</v>
      </c>
      <c r="CQ24" s="209">
        <f t="shared" si="15"/>
        <v>77820</v>
      </c>
    </row>
    <row r="25" spans="1:95" ht="25.5" x14ac:dyDescent="0.3">
      <c r="A25" s="9"/>
      <c r="B25" s="28" t="s">
        <v>39</v>
      </c>
      <c r="C25" s="168">
        <v>68970</v>
      </c>
      <c r="D25" s="18">
        <v>59700</v>
      </c>
      <c r="E25" s="43">
        <v>34650</v>
      </c>
      <c r="F25" s="170">
        <f t="shared" si="33"/>
        <v>-9270</v>
      </c>
      <c r="G25" s="83">
        <v>68970</v>
      </c>
      <c r="H25" s="18">
        <v>74340</v>
      </c>
      <c r="I25" s="43">
        <f>22080+34650+26840</f>
        <v>83570</v>
      </c>
      <c r="J25" s="19">
        <f t="shared" si="34"/>
        <v>5370</v>
      </c>
      <c r="K25" s="17">
        <v>68970</v>
      </c>
      <c r="L25" s="18">
        <v>99390</v>
      </c>
      <c r="M25" s="43">
        <v>84750</v>
      </c>
      <c r="N25" s="31">
        <f t="shared" si="29"/>
        <v>30420</v>
      </c>
      <c r="O25" s="17">
        <f t="shared" ref="O25:O28" si="54">C25+G25+K25</f>
        <v>206910</v>
      </c>
      <c r="P25" s="43">
        <f t="shared" si="20"/>
        <v>233430</v>
      </c>
      <c r="Q25" s="43">
        <f t="shared" si="20"/>
        <v>202970</v>
      </c>
      <c r="R25" s="19">
        <f t="shared" si="35"/>
        <v>26520</v>
      </c>
      <c r="S25" s="17">
        <v>68970</v>
      </c>
      <c r="T25" s="18">
        <v>77310</v>
      </c>
      <c r="U25" s="43">
        <v>37620</v>
      </c>
      <c r="V25" s="19">
        <f t="shared" si="36"/>
        <v>8340</v>
      </c>
      <c r="W25" s="17">
        <v>68970</v>
      </c>
      <c r="X25" s="18">
        <v>74340</v>
      </c>
      <c r="Y25" s="37">
        <f>44160+37620+58560</f>
        <v>140340</v>
      </c>
      <c r="Z25" s="18">
        <f t="shared" si="37"/>
        <v>5370</v>
      </c>
      <c r="AA25" s="17">
        <v>68970</v>
      </c>
      <c r="AB25" s="18">
        <v>74340</v>
      </c>
      <c r="AC25" s="199">
        <f>22080+37620+14640</f>
        <v>74340</v>
      </c>
      <c r="AD25" s="19">
        <f t="shared" si="30"/>
        <v>5370</v>
      </c>
      <c r="AE25" s="17">
        <f t="shared" si="21"/>
        <v>206910</v>
      </c>
      <c r="AF25" s="18">
        <f t="shared" si="21"/>
        <v>225990</v>
      </c>
      <c r="AG25" s="18">
        <f t="shared" si="21"/>
        <v>252300</v>
      </c>
      <c r="AH25" s="19">
        <f t="shared" si="38"/>
        <v>19080</v>
      </c>
      <c r="AI25" s="17">
        <f t="shared" ref="AI25:AK28" si="55">AE25+O25</f>
        <v>413820</v>
      </c>
      <c r="AJ25" s="18">
        <f t="shared" si="55"/>
        <v>459420</v>
      </c>
      <c r="AK25" s="18">
        <f t="shared" si="55"/>
        <v>455270</v>
      </c>
      <c r="AL25" s="19">
        <f t="shared" si="39"/>
        <v>45600</v>
      </c>
      <c r="AM25" s="17">
        <v>68970</v>
      </c>
      <c r="AN25" s="18">
        <f>14640+22080+37620</f>
        <v>74340</v>
      </c>
      <c r="AO25" s="18">
        <f>14640+22080+37620</f>
        <v>74340</v>
      </c>
      <c r="AP25" s="20">
        <f t="shared" si="40"/>
        <v>5370</v>
      </c>
      <c r="AQ25" s="17">
        <v>68970</v>
      </c>
      <c r="AR25" s="18">
        <f>14640+22080+37620</f>
        <v>74340</v>
      </c>
      <c r="AS25" s="18">
        <f>14640+22080+37620</f>
        <v>74340</v>
      </c>
      <c r="AT25" s="20">
        <f t="shared" si="41"/>
        <v>5370</v>
      </c>
      <c r="AU25" s="17">
        <v>68970</v>
      </c>
      <c r="AV25" s="18">
        <v>74340</v>
      </c>
      <c r="AW25" s="43">
        <f>37620+14640</f>
        <v>52260</v>
      </c>
      <c r="AX25" s="20">
        <f t="shared" si="42"/>
        <v>5370</v>
      </c>
      <c r="AY25" s="17">
        <f t="shared" ref="AY25:BA32" si="56">AM25+AQ25+AU25</f>
        <v>206910</v>
      </c>
      <c r="AZ25" s="18">
        <f t="shared" si="56"/>
        <v>223020</v>
      </c>
      <c r="BA25" s="18">
        <f t="shared" si="56"/>
        <v>200940</v>
      </c>
      <c r="BB25" s="19">
        <f t="shared" si="43"/>
        <v>16110</v>
      </c>
      <c r="BC25" s="190">
        <f t="shared" si="24"/>
        <v>620730</v>
      </c>
      <c r="BD25" s="84">
        <f t="shared" si="24"/>
        <v>682440</v>
      </c>
      <c r="BE25" s="84">
        <f t="shared" si="24"/>
        <v>656210</v>
      </c>
      <c r="BF25" s="170">
        <f t="shared" si="44"/>
        <v>61710</v>
      </c>
      <c r="BG25" s="17">
        <v>68970</v>
      </c>
      <c r="BH25" s="18">
        <f>22080+14640+37620</f>
        <v>74340</v>
      </c>
      <c r="BI25" s="43">
        <f>14640+44160+37620</f>
        <v>96420</v>
      </c>
      <c r="BJ25" s="41">
        <f t="shared" si="31"/>
        <v>5370</v>
      </c>
      <c r="BK25" s="17">
        <v>68970</v>
      </c>
      <c r="BL25" s="43">
        <f>14640+22080+37620</f>
        <v>74340</v>
      </c>
      <c r="BM25" s="43">
        <f>14640+22080+37620</f>
        <v>74340</v>
      </c>
      <c r="BN25" s="41">
        <f t="shared" si="45"/>
        <v>5370</v>
      </c>
      <c r="BO25" s="17">
        <v>68970</v>
      </c>
      <c r="BP25" s="43">
        <f>14640+22080+37620</f>
        <v>74340</v>
      </c>
      <c r="BQ25" s="43">
        <f>22080+37620+14640</f>
        <v>74340</v>
      </c>
      <c r="BR25" s="41">
        <f t="shared" si="46"/>
        <v>5370</v>
      </c>
      <c r="BS25" s="17">
        <f t="shared" si="25"/>
        <v>206910</v>
      </c>
      <c r="BT25" s="18">
        <f t="shared" si="25"/>
        <v>223020</v>
      </c>
      <c r="BU25" s="18">
        <f t="shared" si="25"/>
        <v>245100</v>
      </c>
      <c r="BV25" s="20">
        <f t="shared" si="47"/>
        <v>16110</v>
      </c>
      <c r="BW25" s="17">
        <f t="shared" si="26"/>
        <v>413820</v>
      </c>
      <c r="BX25" s="18">
        <f t="shared" si="26"/>
        <v>446040</v>
      </c>
      <c r="BY25" s="18">
        <f t="shared" si="26"/>
        <v>446040</v>
      </c>
      <c r="BZ25" s="20">
        <f t="shared" si="48"/>
        <v>32220</v>
      </c>
      <c r="CA25" s="17">
        <f t="shared" ref="CA25:CC32" si="57">BW25+AI25</f>
        <v>827640</v>
      </c>
      <c r="CB25" s="18">
        <f t="shared" si="57"/>
        <v>905460</v>
      </c>
      <c r="CC25" s="43">
        <f t="shared" si="57"/>
        <v>901310</v>
      </c>
      <c r="CD25" s="20">
        <f>CB25-CA25</f>
        <v>77820</v>
      </c>
      <c r="CF25" s="3"/>
      <c r="CG25" s="3"/>
      <c r="CJ25" s="91">
        <f t="shared" ref="CJ25:CM27" si="58">BG25+BK25+BO25</f>
        <v>206910</v>
      </c>
      <c r="CK25" s="91">
        <f t="shared" si="58"/>
        <v>223020</v>
      </c>
      <c r="CL25" s="91">
        <f t="shared" si="58"/>
        <v>245100</v>
      </c>
      <c r="CM25" s="91">
        <f t="shared" si="58"/>
        <v>16110</v>
      </c>
      <c r="CN25" s="91">
        <f t="shared" si="15"/>
        <v>827640</v>
      </c>
      <c r="CO25" s="91">
        <f t="shared" si="15"/>
        <v>905460</v>
      </c>
      <c r="CP25" s="91">
        <f t="shared" si="15"/>
        <v>901310</v>
      </c>
      <c r="CQ25" s="91">
        <f t="shared" si="15"/>
        <v>77820</v>
      </c>
    </row>
    <row r="26" spans="1:95" ht="17.25" hidden="1" customHeight="1" x14ac:dyDescent="0.3">
      <c r="A26" s="9"/>
      <c r="B26" s="35" t="s">
        <v>40</v>
      </c>
      <c r="C26" s="168"/>
      <c r="D26" s="18"/>
      <c r="E26" s="199"/>
      <c r="F26" s="170">
        <f t="shared" si="33"/>
        <v>0</v>
      </c>
      <c r="G26" s="83"/>
      <c r="H26" s="18"/>
      <c r="I26" s="43"/>
      <c r="J26" s="19">
        <f t="shared" si="34"/>
        <v>0</v>
      </c>
      <c r="K26" s="17"/>
      <c r="L26" s="18"/>
      <c r="M26" s="43"/>
      <c r="N26" s="31">
        <f t="shared" si="29"/>
        <v>0</v>
      </c>
      <c r="O26" s="17">
        <f t="shared" si="54"/>
        <v>0</v>
      </c>
      <c r="P26" s="43">
        <f t="shared" si="20"/>
        <v>0</v>
      </c>
      <c r="Q26" s="43">
        <f t="shared" si="20"/>
        <v>0</v>
      </c>
      <c r="R26" s="19">
        <f t="shared" si="35"/>
        <v>0</v>
      </c>
      <c r="S26" s="17"/>
      <c r="T26" s="18"/>
      <c r="U26" s="43"/>
      <c r="V26" s="19">
        <f t="shared" si="36"/>
        <v>0</v>
      </c>
      <c r="W26" s="17"/>
      <c r="X26" s="18"/>
      <c r="Y26" s="37"/>
      <c r="Z26" s="18">
        <f t="shared" si="37"/>
        <v>0</v>
      </c>
      <c r="AA26" s="17"/>
      <c r="AB26" s="18"/>
      <c r="AC26" s="199"/>
      <c r="AD26" s="19">
        <f t="shared" si="30"/>
        <v>0</v>
      </c>
      <c r="AE26" s="17">
        <f t="shared" si="21"/>
        <v>0</v>
      </c>
      <c r="AF26" s="18">
        <f t="shared" si="21"/>
        <v>0</v>
      </c>
      <c r="AG26" s="18">
        <f t="shared" si="21"/>
        <v>0</v>
      </c>
      <c r="AH26" s="19">
        <f t="shared" si="38"/>
        <v>0</v>
      </c>
      <c r="AI26" s="17">
        <f t="shared" si="55"/>
        <v>0</v>
      </c>
      <c r="AJ26" s="18">
        <f t="shared" si="55"/>
        <v>0</v>
      </c>
      <c r="AK26" s="18">
        <f t="shared" si="55"/>
        <v>0</v>
      </c>
      <c r="AL26" s="19">
        <f t="shared" si="39"/>
        <v>0</v>
      </c>
      <c r="AM26" s="17"/>
      <c r="AN26" s="18"/>
      <c r="AO26" s="199"/>
      <c r="AP26" s="20">
        <f t="shared" si="40"/>
        <v>0</v>
      </c>
      <c r="AQ26" s="17"/>
      <c r="AR26" s="18"/>
      <c r="AS26" s="18"/>
      <c r="AT26" s="20">
        <f t="shared" si="41"/>
        <v>0</v>
      </c>
      <c r="AU26" s="17"/>
      <c r="AV26" s="18"/>
      <c r="AW26" s="43"/>
      <c r="AX26" s="20">
        <f t="shared" si="42"/>
        <v>0</v>
      </c>
      <c r="AY26" s="17">
        <f t="shared" si="56"/>
        <v>0</v>
      </c>
      <c r="AZ26" s="18">
        <f t="shared" si="56"/>
        <v>0</v>
      </c>
      <c r="BA26" s="18">
        <f t="shared" si="56"/>
        <v>0</v>
      </c>
      <c r="BB26" s="19">
        <f t="shared" si="43"/>
        <v>0</v>
      </c>
      <c r="BC26" s="190">
        <f t="shared" si="24"/>
        <v>0</v>
      </c>
      <c r="BD26" s="84">
        <f t="shared" si="24"/>
        <v>0</v>
      </c>
      <c r="BE26" s="84">
        <f t="shared" si="24"/>
        <v>0</v>
      </c>
      <c r="BF26" s="170">
        <f t="shared" si="44"/>
        <v>0</v>
      </c>
      <c r="BG26" s="17"/>
      <c r="BH26" s="18"/>
      <c r="BI26" s="43"/>
      <c r="BJ26" s="41">
        <f t="shared" si="31"/>
        <v>0</v>
      </c>
      <c r="BK26" s="17"/>
      <c r="BL26" s="43"/>
      <c r="BM26" s="43"/>
      <c r="BN26" s="41">
        <f t="shared" si="45"/>
        <v>0</v>
      </c>
      <c r="BO26" s="17"/>
      <c r="BP26" s="43"/>
      <c r="BQ26" s="43"/>
      <c r="BR26" s="41">
        <f t="shared" si="46"/>
        <v>0</v>
      </c>
      <c r="BS26" s="17">
        <f t="shared" si="25"/>
        <v>0</v>
      </c>
      <c r="BT26" s="18">
        <f t="shared" si="25"/>
        <v>0</v>
      </c>
      <c r="BU26" s="18">
        <f t="shared" si="25"/>
        <v>0</v>
      </c>
      <c r="BV26" s="20">
        <f t="shared" si="47"/>
        <v>0</v>
      </c>
      <c r="BW26" s="17">
        <f t="shared" si="26"/>
        <v>0</v>
      </c>
      <c r="BX26" s="18">
        <f t="shared" si="26"/>
        <v>0</v>
      </c>
      <c r="BY26" s="18">
        <f t="shared" si="26"/>
        <v>0</v>
      </c>
      <c r="BZ26" s="20">
        <f t="shared" si="48"/>
        <v>0</v>
      </c>
      <c r="CA26" s="17">
        <f t="shared" si="57"/>
        <v>0</v>
      </c>
      <c r="CB26" s="18">
        <f t="shared" si="57"/>
        <v>0</v>
      </c>
      <c r="CC26" s="43">
        <f t="shared" si="57"/>
        <v>0</v>
      </c>
      <c r="CD26" s="20">
        <f t="shared" ref="CD26:CD27" si="59">CB26-CA26</f>
        <v>0</v>
      </c>
      <c r="CF26" s="3"/>
      <c r="CJ26" s="91">
        <f t="shared" si="58"/>
        <v>0</v>
      </c>
      <c r="CK26" s="91">
        <f t="shared" si="58"/>
        <v>0</v>
      </c>
      <c r="CL26" s="91">
        <f t="shared" si="58"/>
        <v>0</v>
      </c>
      <c r="CM26" s="91">
        <f t="shared" si="58"/>
        <v>0</v>
      </c>
      <c r="CN26" s="91">
        <f t="shared" si="15"/>
        <v>0</v>
      </c>
      <c r="CO26" s="91">
        <f t="shared" si="15"/>
        <v>0</v>
      </c>
      <c r="CP26" s="91">
        <f t="shared" si="15"/>
        <v>0</v>
      </c>
      <c r="CQ26" s="91">
        <f t="shared" si="15"/>
        <v>0</v>
      </c>
    </row>
    <row r="27" spans="1:95" ht="16.5" x14ac:dyDescent="0.3">
      <c r="A27" s="9"/>
      <c r="B27" s="35" t="s">
        <v>41</v>
      </c>
      <c r="C27" s="168">
        <v>12150</v>
      </c>
      <c r="D27" s="18">
        <v>12150</v>
      </c>
      <c r="E27" s="199">
        <v>12150</v>
      </c>
      <c r="F27" s="170">
        <f t="shared" si="33"/>
        <v>0</v>
      </c>
      <c r="G27" s="83">
        <v>12150</v>
      </c>
      <c r="H27" s="18">
        <v>12150</v>
      </c>
      <c r="I27" s="43">
        <v>12150</v>
      </c>
      <c r="J27" s="19">
        <f t="shared" si="34"/>
        <v>0</v>
      </c>
      <c r="K27" s="17">
        <v>12150</v>
      </c>
      <c r="L27" s="18">
        <v>12150</v>
      </c>
      <c r="M27" s="43">
        <v>12150</v>
      </c>
      <c r="N27" s="31">
        <f t="shared" si="29"/>
        <v>0</v>
      </c>
      <c r="O27" s="17">
        <f t="shared" si="54"/>
        <v>36450</v>
      </c>
      <c r="P27" s="43">
        <f t="shared" si="20"/>
        <v>36450</v>
      </c>
      <c r="Q27" s="43">
        <f t="shared" si="20"/>
        <v>36450</v>
      </c>
      <c r="R27" s="19">
        <f t="shared" si="35"/>
        <v>0</v>
      </c>
      <c r="S27" s="17">
        <v>12150</v>
      </c>
      <c r="T27" s="18">
        <v>12150</v>
      </c>
      <c r="U27" s="43">
        <v>12150</v>
      </c>
      <c r="V27" s="19">
        <f t="shared" si="36"/>
        <v>0</v>
      </c>
      <c r="W27" s="17">
        <v>12150</v>
      </c>
      <c r="X27" s="18">
        <v>12150</v>
      </c>
      <c r="Y27" s="37">
        <v>12150</v>
      </c>
      <c r="Z27" s="18">
        <f t="shared" si="37"/>
        <v>0</v>
      </c>
      <c r="AA27" s="17">
        <v>12150</v>
      </c>
      <c r="AB27" s="18">
        <v>12150</v>
      </c>
      <c r="AC27" s="199">
        <v>12150</v>
      </c>
      <c r="AD27" s="19">
        <f t="shared" si="30"/>
        <v>0</v>
      </c>
      <c r="AE27" s="17">
        <f t="shared" si="21"/>
        <v>36450</v>
      </c>
      <c r="AF27" s="18">
        <f t="shared" si="21"/>
        <v>36450</v>
      </c>
      <c r="AG27" s="18">
        <f t="shared" si="21"/>
        <v>36450</v>
      </c>
      <c r="AH27" s="19">
        <f t="shared" si="38"/>
        <v>0</v>
      </c>
      <c r="AI27" s="17">
        <f t="shared" si="55"/>
        <v>72900</v>
      </c>
      <c r="AJ27" s="18">
        <f t="shared" si="55"/>
        <v>72900</v>
      </c>
      <c r="AK27" s="18">
        <f t="shared" si="55"/>
        <v>72900</v>
      </c>
      <c r="AL27" s="19">
        <f t="shared" si="39"/>
        <v>0</v>
      </c>
      <c r="AM27" s="17">
        <v>12150</v>
      </c>
      <c r="AN27" s="18">
        <v>12150</v>
      </c>
      <c r="AO27" s="199">
        <v>12150</v>
      </c>
      <c r="AP27" s="20">
        <f t="shared" si="40"/>
        <v>0</v>
      </c>
      <c r="AQ27" s="17">
        <v>12150</v>
      </c>
      <c r="AR27" s="18">
        <v>12150</v>
      </c>
      <c r="AS27" s="18">
        <v>12150</v>
      </c>
      <c r="AT27" s="20">
        <f t="shared" si="41"/>
        <v>0</v>
      </c>
      <c r="AU27" s="17">
        <v>12150</v>
      </c>
      <c r="AV27" s="18">
        <v>12150</v>
      </c>
      <c r="AW27" s="43">
        <v>12150</v>
      </c>
      <c r="AX27" s="20">
        <f t="shared" si="42"/>
        <v>0</v>
      </c>
      <c r="AY27" s="17">
        <f t="shared" si="56"/>
        <v>36450</v>
      </c>
      <c r="AZ27" s="18">
        <f t="shared" si="56"/>
        <v>36450</v>
      </c>
      <c r="BA27" s="18">
        <f t="shared" si="56"/>
        <v>36450</v>
      </c>
      <c r="BB27" s="19">
        <f t="shared" si="43"/>
        <v>0</v>
      </c>
      <c r="BC27" s="190">
        <f t="shared" si="24"/>
        <v>109350</v>
      </c>
      <c r="BD27" s="84">
        <f t="shared" si="24"/>
        <v>109350</v>
      </c>
      <c r="BE27" s="84">
        <f t="shared" si="24"/>
        <v>109350</v>
      </c>
      <c r="BF27" s="170">
        <f t="shared" si="44"/>
        <v>0</v>
      </c>
      <c r="BG27" s="17">
        <v>12150</v>
      </c>
      <c r="BH27" s="18">
        <v>12150</v>
      </c>
      <c r="BI27" s="43">
        <v>12150</v>
      </c>
      <c r="BJ27" s="41">
        <f t="shared" si="31"/>
        <v>0</v>
      </c>
      <c r="BK27" s="17">
        <v>12150</v>
      </c>
      <c r="BL27" s="43">
        <v>12150</v>
      </c>
      <c r="BM27" s="43">
        <v>12150</v>
      </c>
      <c r="BN27" s="41">
        <f t="shared" si="45"/>
        <v>0</v>
      </c>
      <c r="BO27" s="17">
        <v>12150</v>
      </c>
      <c r="BP27" s="43">
        <v>12150</v>
      </c>
      <c r="BQ27" s="43">
        <v>12150</v>
      </c>
      <c r="BR27" s="41">
        <f t="shared" si="46"/>
        <v>0</v>
      </c>
      <c r="BS27" s="17">
        <f t="shared" si="25"/>
        <v>36450</v>
      </c>
      <c r="BT27" s="18">
        <f t="shared" si="25"/>
        <v>36450</v>
      </c>
      <c r="BU27" s="18">
        <f t="shared" si="25"/>
        <v>36450</v>
      </c>
      <c r="BV27" s="20">
        <f t="shared" si="47"/>
        <v>0</v>
      </c>
      <c r="BW27" s="17">
        <f t="shared" si="26"/>
        <v>72900</v>
      </c>
      <c r="BX27" s="18">
        <f t="shared" si="26"/>
        <v>72900</v>
      </c>
      <c r="BY27" s="18">
        <f t="shared" si="26"/>
        <v>72900</v>
      </c>
      <c r="BZ27" s="20">
        <f t="shared" si="48"/>
        <v>0</v>
      </c>
      <c r="CA27" s="17">
        <f t="shared" si="57"/>
        <v>145800</v>
      </c>
      <c r="CB27" s="18">
        <f t="shared" si="57"/>
        <v>145800</v>
      </c>
      <c r="CC27" s="43">
        <f t="shared" si="57"/>
        <v>145800</v>
      </c>
      <c r="CD27" s="20">
        <f t="shared" si="59"/>
        <v>0</v>
      </c>
      <c r="CF27" s="3"/>
      <c r="CJ27" s="91">
        <f t="shared" si="58"/>
        <v>36450</v>
      </c>
      <c r="CK27" s="91">
        <f t="shared" si="58"/>
        <v>36450</v>
      </c>
      <c r="CL27" s="91">
        <f t="shared" si="58"/>
        <v>36450</v>
      </c>
      <c r="CM27" s="91">
        <f t="shared" si="58"/>
        <v>0</v>
      </c>
      <c r="CN27" s="91">
        <f t="shared" si="15"/>
        <v>145800</v>
      </c>
      <c r="CO27" s="91">
        <f t="shared" si="15"/>
        <v>145800</v>
      </c>
      <c r="CP27" s="91">
        <f t="shared" si="15"/>
        <v>145800</v>
      </c>
      <c r="CQ27" s="91">
        <f t="shared" si="15"/>
        <v>0</v>
      </c>
    </row>
    <row r="28" spans="1:95" ht="16.5" x14ac:dyDescent="0.3">
      <c r="A28" s="9">
        <v>5</v>
      </c>
      <c r="B28" s="97" t="s">
        <v>42</v>
      </c>
      <c r="C28" s="168">
        <f>C29+C30+C31+C32</f>
        <v>11522.369999999999</v>
      </c>
      <c r="D28" s="168">
        <f>D29+D30+D31+D32-D31</f>
        <v>5457</v>
      </c>
      <c r="E28" s="168">
        <f>E29+E30+E31+E32-E31</f>
        <v>8984.66</v>
      </c>
      <c r="F28" s="170">
        <f t="shared" si="33"/>
        <v>-6065.369999999999</v>
      </c>
      <c r="G28" s="89">
        <f>G29+G30+G31+G32</f>
        <v>11522.369999999999</v>
      </c>
      <c r="H28" s="89">
        <f>H29+H30+H31+H32-H31</f>
        <v>5461</v>
      </c>
      <c r="I28" s="89">
        <f>I29+I30+I31+I32-I31</f>
        <v>5461</v>
      </c>
      <c r="J28" s="19">
        <f t="shared" si="34"/>
        <v>-6061.369999999999</v>
      </c>
      <c r="K28" s="31">
        <f>K29+K30+K31+K32</f>
        <v>11522.369999999999</v>
      </c>
      <c r="L28" s="31">
        <f>L29+L30+L31+L32</f>
        <v>49262.07</v>
      </c>
      <c r="M28" s="31">
        <f>M29+M30+M31+M32-M31</f>
        <v>14149.730000000003</v>
      </c>
      <c r="N28" s="31">
        <f t="shared" si="29"/>
        <v>37739.699999999997</v>
      </c>
      <c r="O28" s="25">
        <f t="shared" si="54"/>
        <v>34567.11</v>
      </c>
      <c r="P28" s="95">
        <f t="shared" ref="P28:Q32" si="60">L28+H28+D28</f>
        <v>60180.07</v>
      </c>
      <c r="Q28" s="95">
        <f>M28+I28+E28</f>
        <v>28595.390000000003</v>
      </c>
      <c r="R28" s="30">
        <f t="shared" si="35"/>
        <v>25612.959999999999</v>
      </c>
      <c r="S28" s="31">
        <f>S29+S30+S31+S32</f>
        <v>11522.369999999999</v>
      </c>
      <c r="T28" s="31">
        <f>T29+T30+T31+T32-T31</f>
        <v>10463.999999999996</v>
      </c>
      <c r="U28" s="31">
        <f>U29+U30+U31+U32-U31</f>
        <v>12838.02</v>
      </c>
      <c r="V28" s="30">
        <f t="shared" si="36"/>
        <v>-1058.3700000000026</v>
      </c>
      <c r="W28" s="25">
        <f>W29+W30+W31+W32</f>
        <v>11522.369999999999</v>
      </c>
      <c r="X28" s="25">
        <f>X29+X30+X31+X32-X31</f>
        <v>5463</v>
      </c>
      <c r="Y28" s="25">
        <f>Y29+Y30+Y31+Y32-Y31</f>
        <v>10925</v>
      </c>
      <c r="Z28" s="31">
        <f t="shared" si="37"/>
        <v>-6059.369999999999</v>
      </c>
      <c r="AA28" s="89">
        <f>AA29+AA30+AA31+AA32</f>
        <v>11522.369999999999</v>
      </c>
      <c r="AB28" s="89">
        <f>AB29+AB30+AB31+AB32-AB31</f>
        <v>21989.749999999996</v>
      </c>
      <c r="AC28" s="89">
        <f>AC29+AC30+AC31+AC32-AC31</f>
        <v>21989.749999999996</v>
      </c>
      <c r="AD28" s="30">
        <f t="shared" si="30"/>
        <v>10467.379999999997</v>
      </c>
      <c r="AE28" s="25">
        <f t="shared" ref="AE28:AG32" si="61">S28+W28+AA28</f>
        <v>34567.11</v>
      </c>
      <c r="AF28" s="25">
        <f t="shared" si="61"/>
        <v>37916.749999999993</v>
      </c>
      <c r="AG28" s="25">
        <f>U28+Y28+AC28</f>
        <v>45752.77</v>
      </c>
      <c r="AH28" s="19">
        <f t="shared" si="38"/>
        <v>3349.6399999999921</v>
      </c>
      <c r="AI28" s="25">
        <f>AE28+O28</f>
        <v>69134.22</v>
      </c>
      <c r="AJ28" s="25">
        <f t="shared" si="55"/>
        <v>98096.819999999992</v>
      </c>
      <c r="AK28" s="25">
        <f>AG28+Q28</f>
        <v>74348.160000000003</v>
      </c>
      <c r="AL28" s="30">
        <f t="shared" si="39"/>
        <v>28962.599999999991</v>
      </c>
      <c r="AM28" s="25">
        <f>AM29+AM30+AM31+AM32</f>
        <v>11522.369999999999</v>
      </c>
      <c r="AN28" s="25">
        <f>AN29+AN30+AN31+AN32-AN31</f>
        <v>6974.119999999999</v>
      </c>
      <c r="AO28" s="25">
        <f>AO29+AO30+AO31+AO32-AO31</f>
        <v>6974.119999999999</v>
      </c>
      <c r="AP28" s="32">
        <f t="shared" si="40"/>
        <v>-4548.25</v>
      </c>
      <c r="AQ28" s="25">
        <f>AQ29+AQ30+AQ31+AQ32</f>
        <v>11522.369999999999</v>
      </c>
      <c r="AR28" s="25">
        <f>AR29+AR30+AR31+AR32-AR31</f>
        <v>5454</v>
      </c>
      <c r="AS28" s="25">
        <f>AS29+AS30+AS31+AS32-AS31</f>
        <v>5454</v>
      </c>
      <c r="AT28" s="32">
        <f t="shared" si="41"/>
        <v>-6068.369999999999</v>
      </c>
      <c r="AU28" s="25">
        <f>AU29+AU30+AU31+AU32</f>
        <v>11522.369999999999</v>
      </c>
      <c r="AV28" s="25">
        <f>AV29+AV30+AV31+AV32-AV31</f>
        <v>5455</v>
      </c>
      <c r="AW28" s="25">
        <f>AW29+AW30+AW31+AW32-AW31</f>
        <v>5455</v>
      </c>
      <c r="AX28" s="32">
        <f t="shared" si="42"/>
        <v>-6067.369999999999</v>
      </c>
      <c r="AY28" s="25">
        <f t="shared" si="56"/>
        <v>34567.11</v>
      </c>
      <c r="AZ28" s="25">
        <f>AN28+AR28+AV28</f>
        <v>17883.12</v>
      </c>
      <c r="BA28" s="25">
        <f>AO28+AS28+AW28</f>
        <v>17883.12</v>
      </c>
      <c r="BB28" s="30">
        <f t="shared" si="43"/>
        <v>-16683.990000000002</v>
      </c>
      <c r="BC28" s="191">
        <f t="shared" ref="BC28:BE32" si="62">(AI28+AY28)</f>
        <v>103701.33</v>
      </c>
      <c r="BD28" s="96">
        <f t="shared" si="62"/>
        <v>115979.93999999999</v>
      </c>
      <c r="BE28" s="96">
        <f>(AK28+BA28)</f>
        <v>92231.28</v>
      </c>
      <c r="BF28" s="178">
        <f t="shared" si="44"/>
        <v>12278.609999999986</v>
      </c>
      <c r="BG28" s="89">
        <f>BG29+BG30+BG31+BG32</f>
        <v>11522.369999999999</v>
      </c>
      <c r="BH28" s="89">
        <f>BH29+BH30+BH31+BH32-BH31</f>
        <v>30308.67</v>
      </c>
      <c r="BI28" s="89">
        <f>BI29+BI30+BI31+BI32-BI31</f>
        <v>30308.67</v>
      </c>
      <c r="BJ28" s="27">
        <f t="shared" si="31"/>
        <v>18786.3</v>
      </c>
      <c r="BK28" s="90">
        <f>BK29+BK30+BK31+BK32</f>
        <v>11522.369999999999</v>
      </c>
      <c r="BL28" s="90">
        <f>BL29+BL30+BL31+BL32</f>
        <v>5447</v>
      </c>
      <c r="BM28" s="90">
        <f>BM29+BM30+BM31+BM32</f>
        <v>5447</v>
      </c>
      <c r="BN28" s="27">
        <f t="shared" si="45"/>
        <v>-6075.369999999999</v>
      </c>
      <c r="BO28" s="90">
        <f>BO29+BO30+BO31+BO32</f>
        <v>11522.369999999999</v>
      </c>
      <c r="BP28" s="90">
        <f>BP29+BP30+BP31+BP32</f>
        <v>7400</v>
      </c>
      <c r="BQ28" s="90">
        <f>BQ29+BQ30+BQ31+BQ32</f>
        <v>7400</v>
      </c>
      <c r="BR28" s="27">
        <f t="shared" si="46"/>
        <v>-4122.369999999999</v>
      </c>
      <c r="BS28" s="25">
        <f t="shared" ref="BS28:BU43" si="63">BG28+BK28+BO28</f>
        <v>34567.11</v>
      </c>
      <c r="BT28" s="31">
        <f t="shared" si="63"/>
        <v>43155.67</v>
      </c>
      <c r="BU28" s="31">
        <f>BI28+BM28+BQ28</f>
        <v>43155.67</v>
      </c>
      <c r="BV28" s="32">
        <f t="shared" si="47"/>
        <v>8588.5599999999977</v>
      </c>
      <c r="BW28" s="25">
        <f>BS28+AY28</f>
        <v>69134.22</v>
      </c>
      <c r="BX28" s="25">
        <f t="shared" ref="BX28:BY32" si="64">BT28+AZ28</f>
        <v>61038.789999999994</v>
      </c>
      <c r="BY28" s="25">
        <f>BU28+BA28</f>
        <v>61038.789999999994</v>
      </c>
      <c r="BZ28" s="32">
        <f t="shared" si="48"/>
        <v>-8095.4300000000076</v>
      </c>
      <c r="CA28" s="25">
        <f t="shared" si="57"/>
        <v>138268.44</v>
      </c>
      <c r="CB28" s="25">
        <f>CB29+CB30+CB32</f>
        <v>131861.29</v>
      </c>
      <c r="CC28" s="25">
        <f t="shared" ref="CC28" si="65">BY28+AK28</f>
        <v>135386.95000000001</v>
      </c>
      <c r="CD28" s="32">
        <f>CB28-CA28</f>
        <v>-6407.1499999999942</v>
      </c>
      <c r="CF28" s="3"/>
      <c r="CJ28" s="209">
        <f>SUM(CJ29:CJ32)</f>
        <v>34567.11</v>
      </c>
      <c r="CK28" s="209">
        <f>SUM(CK29:CK32)</f>
        <v>64768.78</v>
      </c>
      <c r="CL28" s="209">
        <f>SUM(CL29:CL32)</f>
        <v>64768.78</v>
      </c>
      <c r="CM28" s="209">
        <f>SUM(CM29:CM32)</f>
        <v>30201.670000000002</v>
      </c>
      <c r="CN28" s="209">
        <f t="shared" si="15"/>
        <v>138268.44</v>
      </c>
      <c r="CO28" s="209">
        <f t="shared" si="15"/>
        <v>180748.71999999997</v>
      </c>
      <c r="CP28" s="209">
        <f t="shared" si="15"/>
        <v>157000.06</v>
      </c>
      <c r="CQ28" s="209">
        <f t="shared" si="15"/>
        <v>42480.279999999992</v>
      </c>
    </row>
    <row r="29" spans="1:95" ht="16.5" x14ac:dyDescent="0.3">
      <c r="A29" s="9"/>
      <c r="B29" s="35" t="s">
        <v>43</v>
      </c>
      <c r="C29" s="174">
        <v>6056.37</v>
      </c>
      <c r="D29" s="18"/>
      <c r="E29" s="199">
        <v>3527.66</v>
      </c>
      <c r="F29" s="170">
        <f t="shared" si="33"/>
        <v>-6056.37</v>
      </c>
      <c r="G29" s="83">
        <v>6056.37</v>
      </c>
      <c r="H29" s="18"/>
      <c r="I29" s="43"/>
      <c r="J29" s="19">
        <f t="shared" si="34"/>
        <v>-6056.37</v>
      </c>
      <c r="K29" s="17">
        <v>6056.37</v>
      </c>
      <c r="L29" s="18">
        <v>16523.75</v>
      </c>
      <c r="M29" s="43">
        <v>8685.73</v>
      </c>
      <c r="N29" s="19"/>
      <c r="O29" s="17">
        <f>C29+G29+K29</f>
        <v>18169.11</v>
      </c>
      <c r="P29" s="43">
        <f t="shared" si="60"/>
        <v>16523.75</v>
      </c>
      <c r="Q29" s="43">
        <f t="shared" si="60"/>
        <v>12213.39</v>
      </c>
      <c r="R29" s="19">
        <f t="shared" si="35"/>
        <v>-1645.3600000000006</v>
      </c>
      <c r="S29" s="17">
        <v>6056.37</v>
      </c>
      <c r="T29" s="18"/>
      <c r="U29" s="43">
        <v>7838.02</v>
      </c>
      <c r="V29" s="19">
        <f t="shared" si="36"/>
        <v>-6056.37</v>
      </c>
      <c r="W29" s="17">
        <v>6056.37</v>
      </c>
      <c r="X29" s="18"/>
      <c r="Y29" s="37"/>
      <c r="Z29" s="18">
        <f t="shared" si="37"/>
        <v>-6056.37</v>
      </c>
      <c r="AA29" s="17">
        <v>6056.37</v>
      </c>
      <c r="AB29" s="18">
        <v>16523.75</v>
      </c>
      <c r="AC29" s="199">
        <v>16523.75</v>
      </c>
      <c r="AD29" s="19">
        <f t="shared" si="30"/>
        <v>10467.380000000001</v>
      </c>
      <c r="AE29" s="17">
        <f t="shared" si="61"/>
        <v>18169.11</v>
      </c>
      <c r="AF29" s="18">
        <f t="shared" si="61"/>
        <v>16523.75</v>
      </c>
      <c r="AG29" s="18">
        <f t="shared" si="61"/>
        <v>24361.77</v>
      </c>
      <c r="AH29" s="19">
        <f t="shared" si="38"/>
        <v>-1645.3600000000006</v>
      </c>
      <c r="AI29" s="17">
        <f t="shared" ref="AI29:AK32" si="66">AE29+O29</f>
        <v>36338.22</v>
      </c>
      <c r="AJ29" s="18">
        <f t="shared" si="66"/>
        <v>33047.5</v>
      </c>
      <c r="AK29" s="18">
        <f t="shared" si="66"/>
        <v>36575.160000000003</v>
      </c>
      <c r="AL29" s="19">
        <f t="shared" si="39"/>
        <v>-3290.7200000000012</v>
      </c>
      <c r="AM29" s="17">
        <v>6056.37</v>
      </c>
      <c r="AN29" s="18"/>
      <c r="AO29" s="199"/>
      <c r="AP29" s="20">
        <f t="shared" si="40"/>
        <v>-6056.37</v>
      </c>
      <c r="AQ29" s="17">
        <v>6056.37</v>
      </c>
      <c r="AR29" s="18"/>
      <c r="AS29" s="18"/>
      <c r="AT29" s="20">
        <f t="shared" si="41"/>
        <v>-6056.37</v>
      </c>
      <c r="AU29" s="17">
        <v>6056.37</v>
      </c>
      <c r="AV29" s="18"/>
      <c r="AW29" s="43"/>
      <c r="AX29" s="20">
        <f t="shared" si="42"/>
        <v>-6056.37</v>
      </c>
      <c r="AY29" s="17">
        <f t="shared" si="56"/>
        <v>18169.11</v>
      </c>
      <c r="AZ29" s="18">
        <f t="shared" si="56"/>
        <v>0</v>
      </c>
      <c r="BA29" s="18">
        <f t="shared" si="56"/>
        <v>0</v>
      </c>
      <c r="BB29" s="19">
        <f t="shared" si="43"/>
        <v>-18169.11</v>
      </c>
      <c r="BC29" s="190">
        <f t="shared" si="62"/>
        <v>54507.33</v>
      </c>
      <c r="BD29" s="84">
        <f t="shared" si="62"/>
        <v>33047.5</v>
      </c>
      <c r="BE29" s="84">
        <f t="shared" si="62"/>
        <v>36575.160000000003</v>
      </c>
      <c r="BF29" s="170">
        <f t="shared" si="44"/>
        <v>-21459.83</v>
      </c>
      <c r="BG29" s="17">
        <v>6056.37</v>
      </c>
      <c r="BH29" s="18">
        <v>22031.67</v>
      </c>
      <c r="BI29" s="43">
        <v>22031.67</v>
      </c>
      <c r="BJ29" s="41">
        <f t="shared" si="31"/>
        <v>15975.3</v>
      </c>
      <c r="BK29" s="17">
        <v>6056.37</v>
      </c>
      <c r="BL29" s="43"/>
      <c r="BM29" s="43"/>
      <c r="BN29" s="41">
        <f t="shared" si="45"/>
        <v>-6056.37</v>
      </c>
      <c r="BO29" s="17">
        <v>6056.37</v>
      </c>
      <c r="BP29" s="43"/>
      <c r="BQ29" s="43"/>
      <c r="BR29" s="41">
        <f t="shared" si="46"/>
        <v>-6056.37</v>
      </c>
      <c r="BS29" s="17">
        <f t="shared" si="63"/>
        <v>18169.11</v>
      </c>
      <c r="BT29" s="18">
        <f t="shared" si="63"/>
        <v>22031.67</v>
      </c>
      <c r="BU29" s="18">
        <f t="shared" si="63"/>
        <v>22031.67</v>
      </c>
      <c r="BV29" s="20">
        <f t="shared" si="47"/>
        <v>3862.5599999999977</v>
      </c>
      <c r="BW29" s="17">
        <f>BS29+AY29</f>
        <v>36338.22</v>
      </c>
      <c r="BX29" s="18">
        <f t="shared" si="64"/>
        <v>22031.67</v>
      </c>
      <c r="BY29" s="18">
        <f t="shared" si="64"/>
        <v>22031.67</v>
      </c>
      <c r="BZ29" s="20">
        <f t="shared" si="48"/>
        <v>-14306.550000000003</v>
      </c>
      <c r="CA29" s="17">
        <f t="shared" si="57"/>
        <v>72676.44</v>
      </c>
      <c r="CB29" s="18">
        <f t="shared" si="57"/>
        <v>55079.17</v>
      </c>
      <c r="CC29" s="43">
        <f t="shared" si="57"/>
        <v>58606.83</v>
      </c>
      <c r="CD29" s="20">
        <f>CB29-CA29</f>
        <v>-17597.270000000004</v>
      </c>
      <c r="CF29" s="3"/>
      <c r="CJ29" s="91">
        <f t="shared" ref="CJ29:CM32" si="67">BG29+BK29+BO29</f>
        <v>18169.11</v>
      </c>
      <c r="CK29" s="91">
        <f t="shared" si="67"/>
        <v>22031.67</v>
      </c>
      <c r="CL29" s="91">
        <f t="shared" si="67"/>
        <v>22031.67</v>
      </c>
      <c r="CM29" s="91">
        <f t="shared" si="67"/>
        <v>3862.5600000000004</v>
      </c>
      <c r="CN29" s="91">
        <f t="shared" si="15"/>
        <v>72676.44</v>
      </c>
      <c r="CO29" s="91">
        <f t="shared" si="15"/>
        <v>55079.17</v>
      </c>
      <c r="CP29" s="91">
        <f t="shared" si="15"/>
        <v>58606.83</v>
      </c>
      <c r="CQ29" s="91">
        <f t="shared" si="15"/>
        <v>-17597.27</v>
      </c>
    </row>
    <row r="30" spans="1:95" ht="16.5" x14ac:dyDescent="0.3">
      <c r="A30" s="9"/>
      <c r="B30" s="35" t="s">
        <v>44</v>
      </c>
      <c r="C30" s="174">
        <v>5466</v>
      </c>
      <c r="D30" s="43">
        <v>5457</v>
      </c>
      <c r="E30" s="199">
        <v>5457</v>
      </c>
      <c r="F30" s="170">
        <f t="shared" si="33"/>
        <v>-9</v>
      </c>
      <c r="G30" s="83">
        <v>5466</v>
      </c>
      <c r="H30" s="43">
        <v>5461</v>
      </c>
      <c r="I30" s="43">
        <v>5461</v>
      </c>
      <c r="J30" s="19">
        <f t="shared" si="34"/>
        <v>-5</v>
      </c>
      <c r="K30" s="17">
        <v>5466</v>
      </c>
      <c r="L30" s="18">
        <v>5464</v>
      </c>
      <c r="M30" s="43">
        <v>5464</v>
      </c>
      <c r="N30" s="19"/>
      <c r="O30" s="17">
        <f t="shared" ref="O30:O32" si="68">C30+G30+K30</f>
        <v>16398</v>
      </c>
      <c r="P30" s="43">
        <f t="shared" si="60"/>
        <v>16382</v>
      </c>
      <c r="Q30" s="43">
        <f t="shared" si="60"/>
        <v>16382</v>
      </c>
      <c r="R30" s="19">
        <f t="shared" si="35"/>
        <v>-16</v>
      </c>
      <c r="S30" s="17">
        <v>5466</v>
      </c>
      <c r="T30" s="18">
        <v>5464</v>
      </c>
      <c r="U30" s="98"/>
      <c r="V30" s="19">
        <f t="shared" si="36"/>
        <v>-2</v>
      </c>
      <c r="W30" s="17">
        <v>5466</v>
      </c>
      <c r="X30" s="18">
        <v>5463</v>
      </c>
      <c r="Y30" s="37">
        <v>10925</v>
      </c>
      <c r="Z30" s="18">
        <f t="shared" si="37"/>
        <v>-3</v>
      </c>
      <c r="AA30" s="17">
        <v>5466</v>
      </c>
      <c r="AB30" s="18">
        <v>5466</v>
      </c>
      <c r="AC30" s="199">
        <v>5466</v>
      </c>
      <c r="AD30" s="19">
        <f t="shared" si="30"/>
        <v>0</v>
      </c>
      <c r="AE30" s="17">
        <f t="shared" si="61"/>
        <v>16398</v>
      </c>
      <c r="AF30" s="18">
        <f t="shared" si="61"/>
        <v>16393</v>
      </c>
      <c r="AG30" s="18">
        <f t="shared" si="61"/>
        <v>16391</v>
      </c>
      <c r="AH30" s="19">
        <f t="shared" si="38"/>
        <v>-5</v>
      </c>
      <c r="AI30" s="17">
        <f t="shared" si="66"/>
        <v>32796</v>
      </c>
      <c r="AJ30" s="18">
        <f t="shared" si="66"/>
        <v>32775</v>
      </c>
      <c r="AK30" s="18">
        <f t="shared" si="66"/>
        <v>32773</v>
      </c>
      <c r="AL30" s="19">
        <f t="shared" si="39"/>
        <v>-21</v>
      </c>
      <c r="AM30" s="17">
        <v>5466</v>
      </c>
      <c r="AN30" s="18">
        <v>5460</v>
      </c>
      <c r="AO30" s="199">
        <v>5460</v>
      </c>
      <c r="AP30" s="20">
        <f t="shared" si="40"/>
        <v>-6</v>
      </c>
      <c r="AQ30" s="17">
        <v>5466</v>
      </c>
      <c r="AR30" s="43">
        <v>5454</v>
      </c>
      <c r="AS30" s="18">
        <v>5454</v>
      </c>
      <c r="AT30" s="20">
        <f t="shared" si="41"/>
        <v>-12</v>
      </c>
      <c r="AU30" s="17">
        <v>5466</v>
      </c>
      <c r="AV30" s="18">
        <v>5455</v>
      </c>
      <c r="AW30" s="43">
        <v>5455</v>
      </c>
      <c r="AX30" s="20">
        <f t="shared" si="42"/>
        <v>-11</v>
      </c>
      <c r="AY30" s="17">
        <f t="shared" si="56"/>
        <v>16398</v>
      </c>
      <c r="AZ30" s="18">
        <f t="shared" si="56"/>
        <v>16369</v>
      </c>
      <c r="BA30" s="18">
        <f t="shared" si="56"/>
        <v>16369</v>
      </c>
      <c r="BB30" s="19">
        <f t="shared" si="43"/>
        <v>-29</v>
      </c>
      <c r="BC30" s="190">
        <f t="shared" si="62"/>
        <v>49194</v>
      </c>
      <c r="BD30" s="84">
        <f t="shared" si="62"/>
        <v>49144</v>
      </c>
      <c r="BE30" s="84">
        <f t="shared" si="62"/>
        <v>49142</v>
      </c>
      <c r="BF30" s="170">
        <f t="shared" si="44"/>
        <v>-50</v>
      </c>
      <c r="BG30" s="17">
        <v>5466</v>
      </c>
      <c r="BH30" s="18">
        <v>5455</v>
      </c>
      <c r="BI30" s="43">
        <v>5455</v>
      </c>
      <c r="BJ30" s="41">
        <f t="shared" si="31"/>
        <v>-11</v>
      </c>
      <c r="BK30" s="17">
        <v>5466</v>
      </c>
      <c r="BL30" s="43">
        <v>5447</v>
      </c>
      <c r="BM30" s="43">
        <v>5447</v>
      </c>
      <c r="BN30" s="41">
        <f t="shared" si="45"/>
        <v>-19</v>
      </c>
      <c r="BO30" s="17">
        <v>5466</v>
      </c>
      <c r="BP30" s="43">
        <v>5450</v>
      </c>
      <c r="BQ30" s="43">
        <v>5450</v>
      </c>
      <c r="BR30" s="41">
        <f t="shared" si="46"/>
        <v>-16</v>
      </c>
      <c r="BS30" s="17">
        <f t="shared" si="63"/>
        <v>16398</v>
      </c>
      <c r="BT30" s="18">
        <f t="shared" si="63"/>
        <v>16352</v>
      </c>
      <c r="BU30" s="18">
        <f t="shared" si="63"/>
        <v>16352</v>
      </c>
      <c r="BV30" s="20">
        <f t="shared" si="47"/>
        <v>-46</v>
      </c>
      <c r="BW30" s="17">
        <f>BS30+AY30</f>
        <v>32796</v>
      </c>
      <c r="BX30" s="18">
        <f t="shared" si="64"/>
        <v>32721</v>
      </c>
      <c r="BY30" s="18">
        <f t="shared" si="64"/>
        <v>32721</v>
      </c>
      <c r="BZ30" s="20">
        <f t="shared" si="48"/>
        <v>-75</v>
      </c>
      <c r="CA30" s="17">
        <f t="shared" si="57"/>
        <v>65592</v>
      </c>
      <c r="CB30" s="18">
        <f t="shared" si="57"/>
        <v>65496</v>
      </c>
      <c r="CC30" s="43">
        <f t="shared" si="57"/>
        <v>65494</v>
      </c>
      <c r="CD30" s="20">
        <f t="shared" ref="CD30:CD32" si="69">CB30-CA30</f>
        <v>-96</v>
      </c>
      <c r="CF30" s="3"/>
      <c r="CJ30" s="91">
        <f t="shared" si="67"/>
        <v>16398</v>
      </c>
      <c r="CK30" s="91">
        <f t="shared" si="67"/>
        <v>16352</v>
      </c>
      <c r="CL30" s="91">
        <f t="shared" si="67"/>
        <v>16352</v>
      </c>
      <c r="CM30" s="91">
        <f t="shared" si="67"/>
        <v>-46</v>
      </c>
      <c r="CN30" s="91">
        <f t="shared" si="15"/>
        <v>65592</v>
      </c>
      <c r="CO30" s="91">
        <f t="shared" si="15"/>
        <v>65496</v>
      </c>
      <c r="CP30" s="91">
        <f t="shared" si="15"/>
        <v>65494</v>
      </c>
      <c r="CQ30" s="91">
        <f t="shared" si="15"/>
        <v>-96</v>
      </c>
    </row>
    <row r="31" spans="1:95" ht="16.5" hidden="1" x14ac:dyDescent="0.3">
      <c r="A31" s="9"/>
      <c r="B31" s="99" t="s">
        <v>45</v>
      </c>
      <c r="C31" s="168"/>
      <c r="D31" s="18">
        <v>23506.17</v>
      </c>
      <c r="E31" s="199">
        <v>23506.17</v>
      </c>
      <c r="F31" s="170">
        <f t="shared" si="33"/>
        <v>23506.17</v>
      </c>
      <c r="G31" s="83"/>
      <c r="H31" s="18">
        <f>890.95</f>
        <v>890.95</v>
      </c>
      <c r="I31" s="43">
        <f>890.95</f>
        <v>890.95</v>
      </c>
      <c r="J31" s="18">
        <f t="shared" si="34"/>
        <v>890.95</v>
      </c>
      <c r="K31" s="83"/>
      <c r="L31" s="18">
        <v>27274.32</v>
      </c>
      <c r="M31" s="43">
        <v>27274.32</v>
      </c>
      <c r="N31" s="19"/>
      <c r="O31" s="17">
        <f t="shared" si="68"/>
        <v>0</v>
      </c>
      <c r="P31" s="43">
        <f t="shared" si="60"/>
        <v>51671.44</v>
      </c>
      <c r="Q31" s="43">
        <f t="shared" si="60"/>
        <v>51671.44</v>
      </c>
      <c r="R31" s="19">
        <f t="shared" si="35"/>
        <v>51671.44</v>
      </c>
      <c r="S31" s="83"/>
      <c r="T31" s="18">
        <v>25198.09</v>
      </c>
      <c r="U31" s="43">
        <v>25198.09</v>
      </c>
      <c r="V31" s="19">
        <f t="shared" si="36"/>
        <v>25198.09</v>
      </c>
      <c r="W31" s="18"/>
      <c r="X31" s="18">
        <v>25500</v>
      </c>
      <c r="Y31" s="37">
        <v>25500</v>
      </c>
      <c r="Z31" s="18">
        <f t="shared" si="37"/>
        <v>25500</v>
      </c>
      <c r="AA31" s="83"/>
      <c r="AB31" s="18">
        <v>24677.87</v>
      </c>
      <c r="AC31" s="43">
        <v>24677.87</v>
      </c>
      <c r="AD31" s="19">
        <f t="shared" si="30"/>
        <v>24677.87</v>
      </c>
      <c r="AE31" s="17">
        <f t="shared" si="61"/>
        <v>0</v>
      </c>
      <c r="AF31" s="18">
        <f t="shared" si="61"/>
        <v>75375.959999999992</v>
      </c>
      <c r="AG31" s="18">
        <f t="shared" si="61"/>
        <v>75375.959999999992</v>
      </c>
      <c r="AH31" s="19">
        <f t="shared" si="38"/>
        <v>75375.959999999992</v>
      </c>
      <c r="AI31" s="17">
        <f t="shared" si="66"/>
        <v>0</v>
      </c>
      <c r="AJ31" s="18">
        <f t="shared" si="66"/>
        <v>127047.4</v>
      </c>
      <c r="AK31" s="18">
        <f t="shared" si="66"/>
        <v>127047.4</v>
      </c>
      <c r="AL31" s="19">
        <f>AJ31-AI31</f>
        <v>127047.4</v>
      </c>
      <c r="AM31" s="17"/>
      <c r="AN31" s="18">
        <v>25494.54</v>
      </c>
      <c r="AO31" s="199">
        <v>25494.54</v>
      </c>
      <c r="AP31" s="20"/>
      <c r="AQ31" s="17"/>
      <c r="AR31" s="43">
        <v>19234.97</v>
      </c>
      <c r="AS31" s="43">
        <v>19234.97</v>
      </c>
      <c r="AT31" s="20">
        <f>AR31-AQ31</f>
        <v>19234.97</v>
      </c>
      <c r="AU31" s="17"/>
      <c r="AV31" s="18">
        <v>20937.7</v>
      </c>
      <c r="AW31" s="18">
        <v>20937.7</v>
      </c>
      <c r="AX31" s="20"/>
      <c r="AY31" s="17">
        <f t="shared" si="56"/>
        <v>0</v>
      </c>
      <c r="AZ31" s="18">
        <f>AN31+AR31+AV31</f>
        <v>65667.210000000006</v>
      </c>
      <c r="BA31" s="18">
        <f>AO31+AS31+AW31</f>
        <v>65667.210000000006</v>
      </c>
      <c r="BB31" s="19">
        <f>AZ31-AY31</f>
        <v>65667.210000000006</v>
      </c>
      <c r="BC31" s="190">
        <f t="shared" si="62"/>
        <v>0</v>
      </c>
      <c r="BD31" s="84">
        <f t="shared" si="62"/>
        <v>192714.61</v>
      </c>
      <c r="BE31" s="84">
        <f t="shared" si="62"/>
        <v>192714.61</v>
      </c>
      <c r="BF31" s="170">
        <f t="shared" si="44"/>
        <v>192714.61</v>
      </c>
      <c r="BG31" s="83"/>
      <c r="BH31" s="18">
        <v>21613.11</v>
      </c>
      <c r="BI31" s="43">
        <v>21613.11</v>
      </c>
      <c r="BJ31" s="41">
        <f t="shared" si="31"/>
        <v>21613.11</v>
      </c>
      <c r="BK31" s="44"/>
      <c r="BL31" s="43"/>
      <c r="BM31" s="43"/>
      <c r="BN31" s="41">
        <f t="shared" si="45"/>
        <v>0</v>
      </c>
      <c r="BO31" s="44"/>
      <c r="BP31" s="43"/>
      <c r="BQ31" s="43"/>
      <c r="BR31" s="41">
        <f t="shared" si="46"/>
        <v>0</v>
      </c>
      <c r="BS31" s="17">
        <f t="shared" si="63"/>
        <v>0</v>
      </c>
      <c r="BT31" s="18">
        <f t="shared" si="63"/>
        <v>21613.11</v>
      </c>
      <c r="BU31" s="18">
        <f t="shared" si="63"/>
        <v>21613.11</v>
      </c>
      <c r="BV31" s="20">
        <f t="shared" si="47"/>
        <v>21613.11</v>
      </c>
      <c r="BW31" s="17">
        <f>BS31+AY31</f>
        <v>0</v>
      </c>
      <c r="BX31" s="18">
        <f t="shared" si="64"/>
        <v>87280.320000000007</v>
      </c>
      <c r="BY31" s="18">
        <f t="shared" si="64"/>
        <v>87280.320000000007</v>
      </c>
      <c r="BZ31" s="20">
        <f t="shared" si="48"/>
        <v>87280.320000000007</v>
      </c>
      <c r="CA31" s="17">
        <f t="shared" si="57"/>
        <v>0</v>
      </c>
      <c r="CB31" s="43">
        <f t="shared" si="57"/>
        <v>214327.72</v>
      </c>
      <c r="CC31" s="43">
        <f t="shared" si="57"/>
        <v>214327.72</v>
      </c>
      <c r="CD31" s="20">
        <f t="shared" si="69"/>
        <v>214327.72</v>
      </c>
      <c r="CF31" s="3"/>
      <c r="CJ31" s="91">
        <f t="shared" si="67"/>
        <v>0</v>
      </c>
      <c r="CK31" s="91">
        <f t="shared" si="67"/>
        <v>21613.11</v>
      </c>
      <c r="CL31" s="91">
        <f t="shared" si="67"/>
        <v>21613.11</v>
      </c>
      <c r="CM31" s="91">
        <f t="shared" si="67"/>
        <v>21613.11</v>
      </c>
      <c r="CN31" s="91">
        <f t="shared" si="15"/>
        <v>0</v>
      </c>
      <c r="CO31" s="91">
        <f t="shared" si="15"/>
        <v>214327.71999999997</v>
      </c>
      <c r="CP31" s="91">
        <f t="shared" si="15"/>
        <v>214327.71999999997</v>
      </c>
      <c r="CQ31" s="91">
        <f t="shared" si="15"/>
        <v>214327.71999999997</v>
      </c>
    </row>
    <row r="32" spans="1:95" ht="21.4" customHeight="1" x14ac:dyDescent="0.3">
      <c r="A32" s="9"/>
      <c r="B32" s="99" t="s">
        <v>175</v>
      </c>
      <c r="C32" s="168"/>
      <c r="D32" s="18"/>
      <c r="E32" s="199"/>
      <c r="F32" s="170">
        <f t="shared" si="33"/>
        <v>0</v>
      </c>
      <c r="G32" s="83"/>
      <c r="H32" s="18"/>
      <c r="I32" s="43"/>
      <c r="J32" s="18">
        <f t="shared" si="34"/>
        <v>0</v>
      </c>
      <c r="K32" s="83"/>
      <c r="L32" s="18"/>
      <c r="M32" s="43"/>
      <c r="N32" s="19"/>
      <c r="O32" s="17">
        <f t="shared" si="68"/>
        <v>0</v>
      </c>
      <c r="P32" s="43">
        <f t="shared" si="60"/>
        <v>0</v>
      </c>
      <c r="Q32" s="43">
        <f t="shared" si="60"/>
        <v>0</v>
      </c>
      <c r="R32" s="19">
        <f t="shared" si="35"/>
        <v>0</v>
      </c>
      <c r="S32" s="83"/>
      <c r="T32" s="18">
        <v>5000</v>
      </c>
      <c r="U32" s="18">
        <v>5000</v>
      </c>
      <c r="V32" s="19">
        <f t="shared" si="36"/>
        <v>5000</v>
      </c>
      <c r="W32" s="18"/>
      <c r="X32" s="18"/>
      <c r="Y32" s="37"/>
      <c r="Z32" s="18">
        <f t="shared" si="37"/>
        <v>0</v>
      </c>
      <c r="AA32" s="83"/>
      <c r="AB32" s="18"/>
      <c r="AC32" s="43"/>
      <c r="AD32" s="19">
        <f t="shared" si="30"/>
        <v>0</v>
      </c>
      <c r="AE32" s="17">
        <f t="shared" si="61"/>
        <v>0</v>
      </c>
      <c r="AF32" s="18">
        <f t="shared" si="61"/>
        <v>5000</v>
      </c>
      <c r="AG32" s="18">
        <f t="shared" si="61"/>
        <v>5000</v>
      </c>
      <c r="AH32" s="19">
        <f t="shared" si="38"/>
        <v>5000</v>
      </c>
      <c r="AI32" s="17">
        <f t="shared" si="66"/>
        <v>0</v>
      </c>
      <c r="AJ32" s="18">
        <f t="shared" si="66"/>
        <v>5000</v>
      </c>
      <c r="AK32" s="18">
        <f t="shared" si="66"/>
        <v>5000</v>
      </c>
      <c r="AL32" s="19">
        <f>AJ32-AI32</f>
        <v>5000</v>
      </c>
      <c r="AM32" s="17"/>
      <c r="AN32" s="43">
        <v>1514.12</v>
      </c>
      <c r="AO32" s="201">
        <v>1514.12</v>
      </c>
      <c r="AP32" s="20"/>
      <c r="AQ32" s="17"/>
      <c r="AR32" s="18"/>
      <c r="AS32" s="43"/>
      <c r="AT32" s="20">
        <f>AR32-AQ32</f>
        <v>0</v>
      </c>
      <c r="AU32" s="17"/>
      <c r="AV32" s="18"/>
      <c r="AW32" s="18"/>
      <c r="AX32" s="20">
        <f>AV32-AU32</f>
        <v>0</v>
      </c>
      <c r="AY32" s="17">
        <f t="shared" si="56"/>
        <v>0</v>
      </c>
      <c r="AZ32" s="18">
        <f>AN32+AR32+AV32</f>
        <v>1514.12</v>
      </c>
      <c r="BA32" s="18">
        <f>AO32+AS32+AW32</f>
        <v>1514.12</v>
      </c>
      <c r="BB32" s="19">
        <f>AZ32-AY32</f>
        <v>1514.12</v>
      </c>
      <c r="BC32" s="190">
        <f t="shared" si="62"/>
        <v>0</v>
      </c>
      <c r="BD32" s="84">
        <f t="shared" si="62"/>
        <v>6514.12</v>
      </c>
      <c r="BE32" s="84">
        <f t="shared" si="62"/>
        <v>6514.12</v>
      </c>
      <c r="BF32" s="170">
        <f t="shared" si="44"/>
        <v>6514.12</v>
      </c>
      <c r="BG32" s="83"/>
      <c r="BH32" s="18">
        <v>2822</v>
      </c>
      <c r="BI32" s="43">
        <v>2822</v>
      </c>
      <c r="BJ32" s="41">
        <f t="shared" si="31"/>
        <v>2822</v>
      </c>
      <c r="BK32" s="44"/>
      <c r="BL32" s="43"/>
      <c r="BM32" s="43"/>
      <c r="BN32" s="41">
        <f t="shared" si="45"/>
        <v>0</v>
      </c>
      <c r="BO32" s="44"/>
      <c r="BP32" s="43">
        <v>1950</v>
      </c>
      <c r="BQ32" s="43">
        <v>1950</v>
      </c>
      <c r="BR32" s="41">
        <f t="shared" si="46"/>
        <v>1950</v>
      </c>
      <c r="BS32" s="17">
        <f t="shared" si="63"/>
        <v>0</v>
      </c>
      <c r="BT32" s="18">
        <f t="shared" si="63"/>
        <v>4772</v>
      </c>
      <c r="BU32" s="18">
        <f t="shared" si="63"/>
        <v>4772</v>
      </c>
      <c r="BV32" s="20">
        <f t="shared" si="47"/>
        <v>4772</v>
      </c>
      <c r="BW32" s="17">
        <f>BS32+AY32</f>
        <v>0</v>
      </c>
      <c r="BX32" s="18">
        <f t="shared" si="64"/>
        <v>6286.12</v>
      </c>
      <c r="BY32" s="18">
        <f t="shared" si="64"/>
        <v>6286.12</v>
      </c>
      <c r="BZ32" s="20">
        <f t="shared" si="48"/>
        <v>6286.12</v>
      </c>
      <c r="CA32" s="17">
        <f t="shared" si="57"/>
        <v>0</v>
      </c>
      <c r="CB32" s="18">
        <f t="shared" si="57"/>
        <v>11286.119999999999</v>
      </c>
      <c r="CC32" s="43">
        <f>BY32+AK32</f>
        <v>11286.119999999999</v>
      </c>
      <c r="CD32" s="20">
        <f t="shared" si="69"/>
        <v>11286.119999999999</v>
      </c>
      <c r="CE32" s="3"/>
      <c r="CF32" s="3"/>
      <c r="CJ32" s="91">
        <f t="shared" si="67"/>
        <v>0</v>
      </c>
      <c r="CK32" s="91">
        <f t="shared" si="67"/>
        <v>4772</v>
      </c>
      <c r="CL32" s="91">
        <f t="shared" si="67"/>
        <v>4772</v>
      </c>
      <c r="CM32" s="91">
        <f t="shared" si="67"/>
        <v>4772</v>
      </c>
      <c r="CN32" s="91">
        <f t="shared" si="15"/>
        <v>0</v>
      </c>
      <c r="CO32" s="91">
        <f t="shared" si="15"/>
        <v>11286.119999999999</v>
      </c>
      <c r="CP32" s="91">
        <f t="shared" si="15"/>
        <v>11286.119999999999</v>
      </c>
      <c r="CQ32" s="91">
        <f t="shared" si="15"/>
        <v>11286.119999999999</v>
      </c>
    </row>
    <row r="33" spans="1:95" ht="15.75" customHeight="1" x14ac:dyDescent="0.3">
      <c r="A33" s="216" t="s">
        <v>46</v>
      </c>
      <c r="B33" s="216"/>
      <c r="C33" s="171">
        <f t="shared" ref="C33:P33" si="70">C34+C95</f>
        <v>3907305.25</v>
      </c>
      <c r="D33" s="23">
        <f t="shared" si="70"/>
        <v>2724312.85</v>
      </c>
      <c r="E33" s="23">
        <f t="shared" si="70"/>
        <v>2520054.6100000003</v>
      </c>
      <c r="F33" s="172">
        <f t="shared" si="70"/>
        <v>-1182992.4000000004</v>
      </c>
      <c r="G33" s="86">
        <f t="shared" si="70"/>
        <v>4036141.1599999997</v>
      </c>
      <c r="H33" s="23">
        <f t="shared" si="70"/>
        <v>4141171.8100000005</v>
      </c>
      <c r="I33" s="23">
        <f t="shared" si="70"/>
        <v>3076471.17</v>
      </c>
      <c r="J33" s="23">
        <f t="shared" si="70"/>
        <v>105030.65000000087</v>
      </c>
      <c r="K33" s="86">
        <f t="shared" si="70"/>
        <v>4036141.1599999997</v>
      </c>
      <c r="L33" s="23">
        <f t="shared" si="70"/>
        <v>3913141.62</v>
      </c>
      <c r="M33" s="23">
        <f t="shared" si="70"/>
        <v>5058239.62</v>
      </c>
      <c r="N33" s="23">
        <f t="shared" si="70"/>
        <v>-122999.53999999957</v>
      </c>
      <c r="O33" s="23">
        <f t="shared" si="70"/>
        <v>11979587.57</v>
      </c>
      <c r="P33" s="23">
        <f t="shared" si="70"/>
        <v>10778626.280000001</v>
      </c>
      <c r="Q33" s="23">
        <f>Q34+Q95</f>
        <v>10654765.399999999</v>
      </c>
      <c r="R33" s="23">
        <f>R34+R95</f>
        <v>-1200961.2899999991</v>
      </c>
      <c r="S33" s="23">
        <f t="shared" ref="S33:T33" si="71">S34+S95</f>
        <v>4036141.1600000006</v>
      </c>
      <c r="T33" s="23">
        <f t="shared" si="71"/>
        <v>2707031.12</v>
      </c>
      <c r="U33" s="23">
        <f>U34+U95</f>
        <v>3152124.4800000004</v>
      </c>
      <c r="V33" s="85">
        <f>V34+V95</f>
        <v>-1329110.0400000007</v>
      </c>
      <c r="W33" s="23">
        <f>W34+W95</f>
        <v>4036141.16</v>
      </c>
      <c r="X33" s="23">
        <f>X34+X95</f>
        <v>2777901.1</v>
      </c>
      <c r="Y33" s="85">
        <f>Y34+Y95</f>
        <v>2864561.25</v>
      </c>
      <c r="Z33" s="23">
        <f t="shared" si="37"/>
        <v>-1258240.06</v>
      </c>
      <c r="AA33" s="86">
        <f>AA34+AA95</f>
        <v>4036141.16</v>
      </c>
      <c r="AB33" s="23">
        <f>AB34+AB95</f>
        <v>3670672.88</v>
      </c>
      <c r="AC33" s="23">
        <f>AC34+AC95</f>
        <v>2946199.7</v>
      </c>
      <c r="AD33" s="85">
        <f t="shared" si="30"/>
        <v>-365468.28000000026</v>
      </c>
      <c r="AE33" s="100">
        <f>AE34+AE95</f>
        <v>12108423.48</v>
      </c>
      <c r="AF33" s="100">
        <f>AF34+AF95</f>
        <v>9155605.0999999996</v>
      </c>
      <c r="AG33" s="100">
        <f>AG34+AG95</f>
        <v>8962885.4299999997</v>
      </c>
      <c r="AH33" s="101">
        <f t="shared" si="38"/>
        <v>-2952818.3800000008</v>
      </c>
      <c r="AI33" s="100">
        <f>AI34+AI95</f>
        <v>24088011.050000001</v>
      </c>
      <c r="AJ33" s="23">
        <f>AJ34+AJ95</f>
        <v>19703649.889999997</v>
      </c>
      <c r="AK33" s="23">
        <f>AK34+AK95</f>
        <v>19407345.02</v>
      </c>
      <c r="AL33" s="85">
        <f t="shared" ref="AL33:AL38" si="72">AJ33-AI33</f>
        <v>-4384361.1600000039</v>
      </c>
      <c r="AM33" s="100">
        <f>AM34+AM95</f>
        <v>4052466.15</v>
      </c>
      <c r="AN33" s="23">
        <f>AN34+AN95</f>
        <v>3239894.75</v>
      </c>
      <c r="AO33" s="23">
        <f>AO34+AO95</f>
        <v>4150049.0599999996</v>
      </c>
      <c r="AP33" s="102">
        <f t="shared" ref="AP33:AP51" si="73">AN33-AM33</f>
        <v>-812571.39999999991</v>
      </c>
      <c r="AQ33" s="100">
        <f>AQ34+AQ95</f>
        <v>4052466.64</v>
      </c>
      <c r="AR33" s="23">
        <f>AR34+AR95</f>
        <v>3347198.71</v>
      </c>
      <c r="AS33" s="23">
        <f>AS34+AS95</f>
        <v>3397754.24</v>
      </c>
      <c r="AT33" s="102">
        <f t="shared" ref="AT33:AT51" si="74">AR33-AQ33</f>
        <v>-705267.93000000017</v>
      </c>
      <c r="AU33" s="100">
        <f>AU34+AU95</f>
        <v>4052466.1500000004</v>
      </c>
      <c r="AV33" s="100">
        <f>AV34+AV95</f>
        <v>4203205.76</v>
      </c>
      <c r="AW33" s="100">
        <f>AW34+AW95</f>
        <v>3631577.9700000007</v>
      </c>
      <c r="AX33" s="102">
        <f>AV33-AU33</f>
        <v>150739.6099999994</v>
      </c>
      <c r="AY33" s="100">
        <f>AY34+AY95</f>
        <v>12157398.449999999</v>
      </c>
      <c r="AZ33" s="100">
        <f>AZ34+AZ95</f>
        <v>10790299.219999999</v>
      </c>
      <c r="BA33" s="100">
        <f>BA34+BA95</f>
        <v>11179381.27</v>
      </c>
      <c r="BB33" s="85">
        <f t="shared" ref="BB33:BB38" si="75">AZ33-AY33</f>
        <v>-1367099.2300000004</v>
      </c>
      <c r="BC33" s="192">
        <f>(AI33+AY33)</f>
        <v>36245409.5</v>
      </c>
      <c r="BD33" s="192">
        <f>(AJ33+AZ33)</f>
        <v>30493949.109999996</v>
      </c>
      <c r="BE33" s="192">
        <f>(AK33+BA33)</f>
        <v>30586726.289999999</v>
      </c>
      <c r="BF33" s="172">
        <f t="shared" si="44"/>
        <v>-5751460.3900000043</v>
      </c>
      <c r="BG33" s="86">
        <f>BG34+BG95</f>
        <v>4052466.1500000004</v>
      </c>
      <c r="BH33" s="23">
        <f>BH34+BH95</f>
        <v>4229608.24</v>
      </c>
      <c r="BI33" s="23">
        <f>BI34+BI95</f>
        <v>4440505.79</v>
      </c>
      <c r="BJ33" s="102">
        <f t="shared" si="31"/>
        <v>177142.08999999985</v>
      </c>
      <c r="BK33" s="100">
        <f>BK34+BK95</f>
        <v>4052466.1500000004</v>
      </c>
      <c r="BL33" s="23">
        <f>BL34+BL95</f>
        <v>3528369.94</v>
      </c>
      <c r="BM33" s="23">
        <f>BM34+BM95</f>
        <v>4161877.5900000003</v>
      </c>
      <c r="BN33" s="102">
        <f t="shared" si="45"/>
        <v>-524096.21000000043</v>
      </c>
      <c r="BO33" s="100">
        <f>BO34+BO95</f>
        <v>4052466.1500000004</v>
      </c>
      <c r="BP33" s="23">
        <f>BP34+BP95</f>
        <v>5537610.2200000007</v>
      </c>
      <c r="BQ33" s="23">
        <f>BQ34+BQ95</f>
        <v>5858482.4500000002</v>
      </c>
      <c r="BR33" s="102">
        <f t="shared" si="46"/>
        <v>1485144.0700000003</v>
      </c>
      <c r="BS33" s="100">
        <f t="shared" si="63"/>
        <v>12157398.450000001</v>
      </c>
      <c r="BT33" s="23">
        <f>BT34+BT95</f>
        <v>13295588.400000002</v>
      </c>
      <c r="BU33" s="23">
        <f>BU34+BU95</f>
        <v>14460865.830000002</v>
      </c>
      <c r="BV33" s="102">
        <f t="shared" si="47"/>
        <v>1138189.9500000011</v>
      </c>
      <c r="BW33" s="100">
        <f>BW34+BW95</f>
        <v>24314796.900000002</v>
      </c>
      <c r="BX33" s="23">
        <f>BX34+BX95</f>
        <v>24085887.619999997</v>
      </c>
      <c r="BY33" s="23">
        <f>BY34+BY95</f>
        <v>25524755.260000002</v>
      </c>
      <c r="BZ33" s="102">
        <f t="shared" si="48"/>
        <v>-228909.28000000492</v>
      </c>
      <c r="CA33" s="23">
        <f t="shared" ref="CA33:CB33" si="76">CA34+CA95</f>
        <v>48402807.950000003</v>
      </c>
      <c r="CB33" s="23">
        <f t="shared" si="76"/>
        <v>45038247.350000001</v>
      </c>
      <c r="CC33" s="23">
        <f>CC34+CC95</f>
        <v>46174410.120000005</v>
      </c>
      <c r="CD33" s="102">
        <f t="shared" ref="CD33:CD34" si="77">CB33-CA33</f>
        <v>-3364560.6000000015</v>
      </c>
      <c r="CJ33" s="87" t="e">
        <f>CJ34+CJ95</f>
        <v>#REF!</v>
      </c>
      <c r="CK33" s="87" t="e">
        <f>CK34+CK95</f>
        <v>#REF!</v>
      </c>
      <c r="CL33" s="87" t="e">
        <f>CL34+CL95</f>
        <v>#REF!</v>
      </c>
      <c r="CM33" s="87" t="e">
        <f>CM34+CM95</f>
        <v>#REF!</v>
      </c>
      <c r="CN33" s="87" t="e">
        <f t="shared" si="15"/>
        <v>#REF!</v>
      </c>
      <c r="CO33" s="87" t="e">
        <f t="shared" si="15"/>
        <v>#REF!</v>
      </c>
      <c r="CP33" s="87" t="e">
        <f t="shared" si="15"/>
        <v>#REF!</v>
      </c>
      <c r="CQ33" s="87" t="e">
        <f t="shared" si="15"/>
        <v>#REF!</v>
      </c>
    </row>
    <row r="34" spans="1:95" ht="16.5" customHeight="1" x14ac:dyDescent="0.3">
      <c r="A34" s="217" t="s">
        <v>47</v>
      </c>
      <c r="B34" s="218"/>
      <c r="C34" s="175">
        <f>C35+C36+C37+C38+C39+C40+C64+C75+C91</f>
        <v>2847703.8200000003</v>
      </c>
      <c r="D34" s="175">
        <f>D35+D36+D37+D38+D39+D40+D64+D75+D91+D92+D93+D94</f>
        <v>1958492.07</v>
      </c>
      <c r="E34" s="175">
        <f>E35+E36+E37+E38+E39+E40+E64+E75+E91+E92+E93+E94</f>
        <v>1693466.4000000001</v>
      </c>
      <c r="F34" s="176">
        <f t="shared" ref="F34:F51" si="78">D34-C34</f>
        <v>-889211.75000000023</v>
      </c>
      <c r="G34" s="105">
        <f>G35+G36+G37+G38+G39+G40+G64+G75+G91+G92+G93+G94</f>
        <v>2972597.9299999997</v>
      </c>
      <c r="H34" s="105">
        <f>H35+H36+H37+H38+H39+H40+H64+H75+H91+H92+H93+H94</f>
        <v>3253215.3500000006</v>
      </c>
      <c r="I34" s="105">
        <f>I35+I36+I37+I38+I39+I40+I64+I75+I91+I92+I93+I94</f>
        <v>2102487.2600000002</v>
      </c>
      <c r="J34" s="104">
        <f t="shared" ref="J34:J51" si="79">H34-G34</f>
        <v>280617.42000000086</v>
      </c>
      <c r="K34" s="105">
        <f>K35+K36+K37+K38+K39+K40+K64+K75+K91+K92+K93+K94</f>
        <v>2979097.9299999997</v>
      </c>
      <c r="L34" s="105">
        <f>L35+L36+L37+L38+L39+L40+L64+L75+L91+L92+L93+L94</f>
        <v>2655871.96</v>
      </c>
      <c r="M34" s="105">
        <f>M35+M36+M37+M38+M39+M40+M64+M75+M91+M92+M93+M94</f>
        <v>4102461.79</v>
      </c>
      <c r="N34" s="103">
        <f t="shared" ref="N34:N56" si="80">L34-K34</f>
        <v>-323225.96999999974</v>
      </c>
      <c r="O34" s="106">
        <f>C34+G34+K34</f>
        <v>8799399.6799999997</v>
      </c>
      <c r="P34" s="106">
        <f t="shared" ref="P34" si="81">D34+H34+L34</f>
        <v>7867579.3800000008</v>
      </c>
      <c r="Q34" s="106">
        <f>E34+I34+M34</f>
        <v>7898415.4500000002</v>
      </c>
      <c r="R34" s="106">
        <f>F34+J34+N34</f>
        <v>-931820.29999999912</v>
      </c>
      <c r="S34" s="36">
        <f>S35+S36+S37+S38+S39+S40+S64+S75+S91+S92+S93+S94</f>
        <v>2992598.5200000005</v>
      </c>
      <c r="T34" s="36">
        <f t="shared" ref="T34" si="82">T35+T36+T37+T38+T39+T40+T64+T75+T91</f>
        <v>1957420.0099999998</v>
      </c>
      <c r="U34" s="36">
        <f>U35+U36+U37+U38+U39+U40+U64+U75+U91</f>
        <v>1998740.8500000003</v>
      </c>
      <c r="V34" s="107">
        <f t="shared" ref="V34:V51" si="83">T34-S34</f>
        <v>-1035178.5100000007</v>
      </c>
      <c r="W34" s="36">
        <f>W35+W36+W37+W38+W39+W40+W64+W75+W91+W92+W93+W94</f>
        <v>2986598.24</v>
      </c>
      <c r="X34" s="36">
        <f>X35+X36+X37+X38+X39+X40+X64+X75+X91</f>
        <v>1844715.6300000001</v>
      </c>
      <c r="Y34" s="36">
        <f>Y35+Y36+Y37+Y38+Y39+Y40+Y64+Y75+Y91</f>
        <v>2018239.98</v>
      </c>
      <c r="Z34" s="36">
        <f t="shared" si="37"/>
        <v>-1141882.6100000001</v>
      </c>
      <c r="AA34" s="105">
        <f>AA35+AA36+AA37+AA38+AA39+AA40+AA64+AA75+AA91+AA92+AA93+AA94</f>
        <v>2986098.2700000005</v>
      </c>
      <c r="AB34" s="105">
        <f>AB35+AB36+AB37+AB38+AB39+AB40+AB64+AB75+AB91</f>
        <v>2288617.0499999998</v>
      </c>
      <c r="AC34" s="105">
        <f>AC35+AC36+AC37+AC38+AC39+AC40+AC64+AC75+AC91</f>
        <v>2104496.87</v>
      </c>
      <c r="AD34" s="107">
        <f t="shared" si="30"/>
        <v>-697481.22000000067</v>
      </c>
      <c r="AE34" s="36">
        <f>S34+W34+AA34</f>
        <v>8965295.0300000012</v>
      </c>
      <c r="AF34" s="36">
        <f t="shared" ref="AE34:AG39" si="84">T34+X34+AB34</f>
        <v>6090752.6899999995</v>
      </c>
      <c r="AG34" s="36">
        <f t="shared" si="84"/>
        <v>6121477.7000000002</v>
      </c>
      <c r="AH34" s="103">
        <f t="shared" si="38"/>
        <v>-2874542.3400000017</v>
      </c>
      <c r="AI34" s="36">
        <f>AI35+AI36+AI37+AI38+AI39+AI40+AI64+AI75+AI89+AI90+AI91+AI92+AI93+AI94</f>
        <v>17764694.710000001</v>
      </c>
      <c r="AJ34" s="36">
        <f>AJ35+AJ36+AJ37+AJ38+AJ39+AJ40+AJ64+AJ75+AJ89+AJ90+AJ91</f>
        <v>13727750.579999998</v>
      </c>
      <c r="AK34" s="36">
        <f>AK35+AK36+AK37+AK38+AK39+AK40+AK64+AK75+AK89+AK90+AK91</f>
        <v>13809587.340000002</v>
      </c>
      <c r="AL34" s="107">
        <f t="shared" si="72"/>
        <v>-4036944.1300000027</v>
      </c>
      <c r="AM34" s="36">
        <f>AM35+AM36+AM37+AM38+AM39+AM40+AM64+AM75+AM91+AM92+AM93+AM94</f>
        <v>3002106.92</v>
      </c>
      <c r="AN34" s="36">
        <f>AN35+AN36+AN37+AN38+AN39+AN40+AN64+AN75+AN91</f>
        <v>2309249.75</v>
      </c>
      <c r="AO34" s="36">
        <f>AO35+AO36+AO37+AO38+AO39+AO40+AO64+AO75+AO89+AO90+AO91+AO92+AO93+AO94</f>
        <v>2689190.3599999994</v>
      </c>
      <c r="AP34" s="108">
        <f t="shared" si="73"/>
        <v>-692857.16999999993</v>
      </c>
      <c r="AQ34" s="36">
        <f>AQ35+AQ36+AQ37+AQ38+AQ39+AQ40+AQ64+AQ75+AQ91+AQ92+AQ93+AQ94</f>
        <v>3006607.41</v>
      </c>
      <c r="AR34" s="36">
        <f>AR35+AR36+AR37+AR38+AR39+AR40+AR64+AR75+AR91</f>
        <v>2462393.0999999996</v>
      </c>
      <c r="AS34" s="36">
        <f>AS35+AS36+AS37+AS38+AS39+AS40+AS64+AS75+AS91</f>
        <v>2526827.25</v>
      </c>
      <c r="AT34" s="108">
        <f t="shared" si="74"/>
        <v>-544214.31000000052</v>
      </c>
      <c r="AU34" s="36">
        <f>AU35+AU36+AU37+AU38+AU39+AU40+AU64+AU75+AU91+AU92+AU93+AU94</f>
        <v>3016606.66</v>
      </c>
      <c r="AV34" s="36">
        <f>AV35+AV36+AV37+AV38+AV39+AV40+AV64+AV75+AV91</f>
        <v>2694527.0100000002</v>
      </c>
      <c r="AW34" s="36">
        <f>AW35+AW36+AW37+AW38+AW39+AW40+AW64+AW75+AW91</f>
        <v>2671775.3500000006</v>
      </c>
      <c r="AX34" s="108">
        <f>AV34-AU34</f>
        <v>-322079.64999999991</v>
      </c>
      <c r="AY34" s="106">
        <f>AM34+AQ34+AU34</f>
        <v>9025320.9900000002</v>
      </c>
      <c r="AZ34" s="106">
        <f>AN34+AR34+AV34</f>
        <v>7466169.8599999994</v>
      </c>
      <c r="BA34" s="106">
        <f>AO34+AS34+AW34</f>
        <v>7887792.96</v>
      </c>
      <c r="BB34" s="109">
        <f t="shared" si="75"/>
        <v>-1559151.1300000008</v>
      </c>
      <c r="BC34" s="36">
        <f>BC35+BC36+BC37+BC38+BC39+BC40+BC64+BC75+BC91</f>
        <v>25744566.649999999</v>
      </c>
      <c r="BD34" s="36">
        <f>BD35+BD36+BD37+BD38+BD39+BD40+BD64+BD75+BD91</f>
        <v>21193920.439999998</v>
      </c>
      <c r="BE34" s="36">
        <f>BE35+BE36+BE37+BE38+BE39+BE40+BE64+BE75+BE91</f>
        <v>21581888.460000001</v>
      </c>
      <c r="BF34" s="193">
        <f t="shared" si="44"/>
        <v>-4550646.2100000009</v>
      </c>
      <c r="BG34" s="105">
        <f>BG35+BG36+BG37+BG38+BG39+BG40+BG64+BG75+BG91+BG92+BG93+BG94</f>
        <v>2997606.66</v>
      </c>
      <c r="BH34" s="105">
        <f>BH35+BH36+BH37+BH38+BH39+BH40+BH64+BH75+BH91</f>
        <v>3212547.2500000005</v>
      </c>
      <c r="BI34" s="105">
        <f>BI35+BI36+BI37+BI38+BI39+BI40+BI64+BI75+BI91</f>
        <v>3042841.77</v>
      </c>
      <c r="BJ34" s="108">
        <f t="shared" si="31"/>
        <v>214940.59000000032</v>
      </c>
      <c r="BK34" s="36">
        <f>BK35+BK36+BK37+BK38+BK39+BK40+BK64+BK75+BK91+BK92+BK93+BK94</f>
        <v>2992606.74</v>
      </c>
      <c r="BL34" s="36">
        <f>BL35+BL36+BL37+BL38+BL39+BL40+BL64+BL75+BL91</f>
        <v>2663491.6</v>
      </c>
      <c r="BM34" s="36">
        <f>BM35+BM36+BM37+BM38+BM39+BM40+BM64+BM75+BM91</f>
        <v>3007689.5300000003</v>
      </c>
      <c r="BN34" s="108">
        <f t="shared" si="45"/>
        <v>-329115.14000000013</v>
      </c>
      <c r="BO34" s="36">
        <f>BO35+BO36+BO37+BO38+BO39+BO40+BO64+BO75+BO91+BO92+BO93+BO94</f>
        <v>2984606.5100000002</v>
      </c>
      <c r="BP34" s="36">
        <f>BP35+BP36+BP37+BP38+BP39+BP40+BP64+BP75+BP91</f>
        <v>3874087.3200000003</v>
      </c>
      <c r="BQ34" s="36">
        <f>BQ35+BQ36+BQ37+BQ38+BQ39+BQ40+BQ64+BQ75+BQ91</f>
        <v>3822852.08</v>
      </c>
      <c r="BR34" s="108">
        <f t="shared" si="46"/>
        <v>889480.81</v>
      </c>
      <c r="BS34" s="106">
        <f>BG34+BK34+BO34</f>
        <v>8974819.9100000001</v>
      </c>
      <c r="BT34" s="106">
        <f>BH34+BL34+BP34</f>
        <v>9750126.1700000018</v>
      </c>
      <c r="BU34" s="106">
        <f>BI34+BM34+BQ34</f>
        <v>9873383.3800000008</v>
      </c>
      <c r="BV34" s="108">
        <f t="shared" si="47"/>
        <v>775306.26000000164</v>
      </c>
      <c r="BW34" s="36">
        <f>BW35+BW36+BW37+BW38+BW39+BW40+BW64+BW75+BW91+BW92+BW93+BW94</f>
        <v>18000140.900000002</v>
      </c>
      <c r="BX34" s="36">
        <f>BX35+BX36+BX37+BX38+BX39+BX40+BX64+BX75+BX91</f>
        <v>17216296.029999997</v>
      </c>
      <c r="BY34" s="36">
        <f>BY35+BY36+BY37+BY38+BY39+BY40+BY64+BY75+BY91</f>
        <v>17645684.5</v>
      </c>
      <c r="BZ34" s="108">
        <f t="shared" si="48"/>
        <v>-783844.87000000477</v>
      </c>
      <c r="CA34" s="36">
        <f>CA35+CA36+CA37+CA38+CA39+CA40+CA64+CA75+CA91+CA92+CA93+CA94+CA89+CA90</f>
        <v>35764835.609999999</v>
      </c>
      <c r="CB34" s="36">
        <f t="shared" ref="CB34:CC34" si="85">CB35+CB36+CB37+CB38+CB39+CB40+CB64+CB75+CB91+CB92+CB93+CB94+CB89+CB90</f>
        <v>32186356.450000003</v>
      </c>
      <c r="CC34" s="36">
        <f t="shared" si="85"/>
        <v>32697581.680000003</v>
      </c>
      <c r="CD34" s="108">
        <f t="shared" si="77"/>
        <v>-3578479.1599999964</v>
      </c>
      <c r="CJ34" s="111" t="e">
        <f>CJ35+#REF!+#REF!+CJ36+CJ37+CJ38+CJ39+CJ40+CJ64+CJ75+CJ89+CJ90+CJ91</f>
        <v>#REF!</v>
      </c>
      <c r="CK34" s="111" t="e">
        <f>CK35+#REF!+#REF!+CK36+CK37+CK38+CK39+CK40+CK64+CK75+CK89+CK90+CK91</f>
        <v>#REF!</v>
      </c>
      <c r="CL34" s="111" t="e">
        <f>CL35+#REF!+#REF!+CL36+CL37+CL38+CL39+CL40+CL64+CL75+CL89+CL90+CL91</f>
        <v>#REF!</v>
      </c>
      <c r="CM34" s="111" t="e">
        <f>CM35+#REF!+#REF!+CM36+CM37+CM38+CM39+CM40+CM64+CM75+CM89+CM90+CM91</f>
        <v>#REF!</v>
      </c>
      <c r="CN34" s="111" t="e">
        <f t="shared" ref="CN34:CQ63" si="86">O34+AE34+AY34+CJ34</f>
        <v>#REF!</v>
      </c>
      <c r="CO34" s="111" t="e">
        <f t="shared" si="86"/>
        <v>#REF!</v>
      </c>
      <c r="CP34" s="111" t="e">
        <f t="shared" si="86"/>
        <v>#REF!</v>
      </c>
      <c r="CQ34" s="111" t="e">
        <f t="shared" si="86"/>
        <v>#REF!</v>
      </c>
    </row>
    <row r="35" spans="1:95" ht="45" customHeight="1" x14ac:dyDescent="0.3">
      <c r="A35" s="9">
        <v>1</v>
      </c>
      <c r="B35" s="10" t="s">
        <v>48</v>
      </c>
      <c r="C35" s="174">
        <v>151409.32</v>
      </c>
      <c r="D35" s="18">
        <f>66148.72+71549.17</f>
        <v>137697.89000000001</v>
      </c>
      <c r="E35" s="43"/>
      <c r="F35" s="170">
        <f t="shared" si="78"/>
        <v>-13711.429999999993</v>
      </c>
      <c r="G35" s="83">
        <v>151409.32</v>
      </c>
      <c r="H35" s="18">
        <f>3990+4222+66148.72+71549.17</f>
        <v>145909.89000000001</v>
      </c>
      <c r="I35" s="43">
        <v>137697.89000000001</v>
      </c>
      <c r="J35" s="19">
        <f t="shared" si="79"/>
        <v>-5499.429999999993</v>
      </c>
      <c r="K35" s="17">
        <v>151409.32</v>
      </c>
      <c r="L35" s="18">
        <f>66148.72+71549.17</f>
        <v>137697.89000000001</v>
      </c>
      <c r="M35" s="43">
        <f>137697.89+8212</f>
        <v>145909.89000000001</v>
      </c>
      <c r="N35" s="19">
        <f t="shared" si="80"/>
        <v>-13711.429999999993</v>
      </c>
      <c r="O35" s="95">
        <f t="shared" ref="O35:Q50" si="87">K35+G35+C35</f>
        <v>454227.96</v>
      </c>
      <c r="P35" s="95">
        <f t="shared" si="87"/>
        <v>421305.67000000004</v>
      </c>
      <c r="Q35" s="95">
        <f t="shared" si="87"/>
        <v>283607.78000000003</v>
      </c>
      <c r="R35" s="30">
        <f t="shared" ref="R35:R51" si="88">P35-O35</f>
        <v>-32922.289999999979</v>
      </c>
      <c r="S35" s="17">
        <v>151409.32</v>
      </c>
      <c r="T35" s="18">
        <f>66148.72+71549.17</f>
        <v>137697.89000000001</v>
      </c>
      <c r="U35" s="43">
        <v>137697.89000000001</v>
      </c>
      <c r="V35" s="19">
        <f t="shared" si="83"/>
        <v>-13711.429999999993</v>
      </c>
      <c r="W35" s="112">
        <v>151409.32</v>
      </c>
      <c r="X35" s="113">
        <f>66148.72+71549.17</f>
        <v>137697.89000000001</v>
      </c>
      <c r="Y35" s="114">
        <v>137697.89000000001</v>
      </c>
      <c r="Z35" s="43">
        <f t="shared" si="37"/>
        <v>-13711.429999999993</v>
      </c>
      <c r="AA35" s="115">
        <v>151409.32</v>
      </c>
      <c r="AB35" s="43">
        <f>66148.72+71549.17+12666</f>
        <v>150363.89000000001</v>
      </c>
      <c r="AC35" s="43">
        <v>137697.89000000001</v>
      </c>
      <c r="AD35" s="19">
        <f t="shared" si="30"/>
        <v>-1045.429999999993</v>
      </c>
      <c r="AE35" s="17">
        <f t="shared" si="84"/>
        <v>454227.96</v>
      </c>
      <c r="AF35" s="18">
        <f t="shared" si="84"/>
        <v>425759.67000000004</v>
      </c>
      <c r="AG35" s="18">
        <f t="shared" si="84"/>
        <v>413093.67000000004</v>
      </c>
      <c r="AH35" s="19">
        <f t="shared" si="38"/>
        <v>-28468.289999999979</v>
      </c>
      <c r="AI35" s="17">
        <f t="shared" ref="AI35:AK38" si="89">AE35+O35</f>
        <v>908455.92</v>
      </c>
      <c r="AJ35" s="18">
        <f t="shared" si="89"/>
        <v>847065.34000000008</v>
      </c>
      <c r="AK35" s="18">
        <f t="shared" si="89"/>
        <v>696701.45000000007</v>
      </c>
      <c r="AL35" s="19">
        <f t="shared" si="72"/>
        <v>-61390.579999999958</v>
      </c>
      <c r="AM35" s="17">
        <v>151409.32</v>
      </c>
      <c r="AN35" s="18">
        <f>66148.72+71549.17+4222</f>
        <v>141919.89000000001</v>
      </c>
      <c r="AO35" s="18">
        <f>137697.89+12666</f>
        <v>150363.89000000001</v>
      </c>
      <c r="AP35" s="20">
        <f t="shared" si="73"/>
        <v>-9489.429999999993</v>
      </c>
      <c r="AQ35" s="17">
        <v>151409.32</v>
      </c>
      <c r="AR35" s="18">
        <f>71549.17+66148.72+12666</f>
        <v>150363.89000000001</v>
      </c>
      <c r="AS35" s="43">
        <f>137697.89+4222</f>
        <v>141919.89000000001</v>
      </c>
      <c r="AT35" s="20">
        <f t="shared" si="74"/>
        <v>-1045.429999999993</v>
      </c>
      <c r="AU35" s="17">
        <v>151409.32</v>
      </c>
      <c r="AV35" s="18">
        <f>12666+71549.17+66148.72</f>
        <v>150363.89000000001</v>
      </c>
      <c r="AW35" s="43">
        <f>275395.78+25332</f>
        <v>300727.78000000003</v>
      </c>
      <c r="AX35" s="20">
        <f>AV35-AU35</f>
        <v>-1045.429999999993</v>
      </c>
      <c r="AY35" s="17">
        <f t="shared" ref="AY35:BA39" si="90">AM35+AQ35+AU35</f>
        <v>454227.96</v>
      </c>
      <c r="AZ35" s="18">
        <f t="shared" si="90"/>
        <v>442647.67000000004</v>
      </c>
      <c r="BA35" s="18">
        <f t="shared" si="90"/>
        <v>593011.56000000006</v>
      </c>
      <c r="BB35" s="19">
        <f t="shared" si="75"/>
        <v>-11580.289999999979</v>
      </c>
      <c r="BC35" s="190">
        <f t="shared" ref="BC35:BD51" si="91">(AI35+AY35)</f>
        <v>1362683.8800000001</v>
      </c>
      <c r="BD35" s="84">
        <f t="shared" si="91"/>
        <v>1289713.0100000002</v>
      </c>
      <c r="BE35" s="84">
        <f>Q35+AG35+BA35</f>
        <v>1289713.0100000002</v>
      </c>
      <c r="BF35" s="170">
        <f t="shared" si="44"/>
        <v>-72970.869999999879</v>
      </c>
      <c r="BG35" s="17">
        <v>151409.32</v>
      </c>
      <c r="BH35" s="18">
        <f>12666+71549.17+66148.72</f>
        <v>150363.89000000001</v>
      </c>
      <c r="BI35" s="43"/>
      <c r="BJ35" s="41">
        <f t="shared" si="31"/>
        <v>-1045.429999999993</v>
      </c>
      <c r="BK35" s="44">
        <v>151409.32</v>
      </c>
      <c r="BL35" s="43">
        <f>66148.72+71549.17</f>
        <v>137697.89000000001</v>
      </c>
      <c r="BM35" s="43">
        <f>137697.89+12666</f>
        <v>150363.89000000001</v>
      </c>
      <c r="BN35" s="41">
        <f t="shared" si="45"/>
        <v>-13711.429999999993</v>
      </c>
      <c r="BO35" s="44">
        <v>151409.32</v>
      </c>
      <c r="BP35" s="43">
        <f>8444+71549.17+66148.72</f>
        <v>146141.89000000001</v>
      </c>
      <c r="BQ35" s="43">
        <f>275395.78+8444</f>
        <v>283839.78000000003</v>
      </c>
      <c r="BR35" s="41">
        <f t="shared" si="46"/>
        <v>-5267.429999999993</v>
      </c>
      <c r="BS35" s="17">
        <f t="shared" si="63"/>
        <v>454227.96</v>
      </c>
      <c r="BT35" s="18">
        <f t="shared" si="63"/>
        <v>434203.67000000004</v>
      </c>
      <c r="BU35" s="18">
        <f t="shared" si="63"/>
        <v>434203.67000000004</v>
      </c>
      <c r="BV35" s="20">
        <f t="shared" si="47"/>
        <v>-20024.289999999979</v>
      </c>
      <c r="BW35" s="17">
        <f t="shared" ref="BW35:BY51" si="92">BS35+AY35</f>
        <v>908455.92</v>
      </c>
      <c r="BX35" s="18">
        <f t="shared" si="92"/>
        <v>876851.34000000008</v>
      </c>
      <c r="BY35" s="18">
        <f t="shared" si="92"/>
        <v>1027215.2300000001</v>
      </c>
      <c r="BZ35" s="20">
        <f t="shared" si="48"/>
        <v>-31604.579999999958</v>
      </c>
      <c r="CA35" s="17">
        <f t="shared" ref="CA35:CC39" si="93">BW35+AI35</f>
        <v>1816911.84</v>
      </c>
      <c r="CB35" s="18">
        <f t="shared" si="93"/>
        <v>1723916.6800000002</v>
      </c>
      <c r="CC35" s="43">
        <f t="shared" si="93"/>
        <v>1723916.6800000002</v>
      </c>
      <c r="CD35" s="20">
        <f>CB35-CA35</f>
        <v>-92995.159999999916</v>
      </c>
      <c r="CH35" s="3"/>
      <c r="CJ35" s="91">
        <f t="shared" ref="CJ35:CM39" si="94">BG35+BK35+BO35</f>
        <v>454227.96</v>
      </c>
      <c r="CK35" s="91">
        <f t="shared" si="94"/>
        <v>434203.67000000004</v>
      </c>
      <c r="CL35" s="91">
        <f t="shared" si="94"/>
        <v>434203.67000000004</v>
      </c>
      <c r="CM35" s="91">
        <f t="shared" si="94"/>
        <v>-20024.289999999979</v>
      </c>
      <c r="CN35" s="91">
        <f t="shared" si="86"/>
        <v>1816911.84</v>
      </c>
      <c r="CO35" s="91">
        <f t="shared" si="86"/>
        <v>1723916.6800000002</v>
      </c>
      <c r="CP35" s="91">
        <f t="shared" si="86"/>
        <v>1723916.6800000002</v>
      </c>
      <c r="CQ35" s="91">
        <f t="shared" si="86"/>
        <v>-92995.159999999916</v>
      </c>
    </row>
    <row r="36" spans="1:95" ht="16.5" x14ac:dyDescent="0.3">
      <c r="A36" s="9">
        <v>2</v>
      </c>
      <c r="B36" s="10" t="s">
        <v>49</v>
      </c>
      <c r="C36" s="174">
        <v>1151514</v>
      </c>
      <c r="D36" s="43">
        <f>697429.07+283391.85</f>
        <v>980820.91999999993</v>
      </c>
      <c r="E36" s="43">
        <f>716659.85-3366.69</f>
        <v>713293.16</v>
      </c>
      <c r="F36" s="170">
        <f t="shared" si="78"/>
        <v>-170693.08000000007</v>
      </c>
      <c r="G36" s="83">
        <v>1281011</v>
      </c>
      <c r="H36" s="43">
        <f>840558.08+366967.73</f>
        <v>1207525.81</v>
      </c>
      <c r="I36" s="43">
        <f>809096.46+283391.85</f>
        <v>1092488.31</v>
      </c>
      <c r="J36" s="19">
        <f t="shared" si="79"/>
        <v>-73485.189999999944</v>
      </c>
      <c r="K36" s="17">
        <v>1410509</v>
      </c>
      <c r="L36" s="43">
        <f>979800.71+366967.73</f>
        <v>1346768.44</v>
      </c>
      <c r="M36" s="43">
        <f>736248.38+206930.63-7036.71+366967.73+366967.73</f>
        <v>1670077.76</v>
      </c>
      <c r="N36" s="19">
        <f t="shared" si="80"/>
        <v>-63740.560000000056</v>
      </c>
      <c r="O36" s="95">
        <f t="shared" si="87"/>
        <v>3843034</v>
      </c>
      <c r="P36" s="95">
        <f t="shared" si="87"/>
        <v>3535115.17</v>
      </c>
      <c r="Q36" s="95">
        <f t="shared" si="87"/>
        <v>3475859.2300000004</v>
      </c>
      <c r="R36" s="30">
        <f t="shared" si="88"/>
        <v>-307918.83000000007</v>
      </c>
      <c r="S36" s="17">
        <v>1467164</v>
      </c>
      <c r="T36" s="18">
        <f>820552.95+366967.73</f>
        <v>1187520.68</v>
      </c>
      <c r="U36" s="43">
        <f>822280.18-8147.31+366967.73</f>
        <v>1181100.6000000001</v>
      </c>
      <c r="V36" s="19">
        <f t="shared" si="83"/>
        <v>-279643.32000000007</v>
      </c>
      <c r="W36" s="17">
        <v>1143420</v>
      </c>
      <c r="X36" s="18">
        <f>366967.73+750339.84</f>
        <v>1117307.5699999998</v>
      </c>
      <c r="Y36" s="37">
        <f>366967.73+778343.29-3691.14</f>
        <v>1141619.8800000001</v>
      </c>
      <c r="Z36" s="43">
        <f t="shared" si="37"/>
        <v>-26112.430000000168</v>
      </c>
      <c r="AA36" s="115">
        <v>1402415</v>
      </c>
      <c r="AB36" s="43">
        <f>382361.38+894822.34</f>
        <v>1277183.72</v>
      </c>
      <c r="AC36" s="43">
        <f>382361.38+806598.49+6000</f>
        <v>1194959.8700000001</v>
      </c>
      <c r="AD36" s="19">
        <f t="shared" si="30"/>
        <v>-125231.28000000003</v>
      </c>
      <c r="AE36" s="17">
        <f t="shared" si="84"/>
        <v>4012999</v>
      </c>
      <c r="AF36" s="18">
        <f t="shared" si="84"/>
        <v>3582011.9699999997</v>
      </c>
      <c r="AG36" s="18">
        <f>U36+Y36+AC36</f>
        <v>3517680.3500000006</v>
      </c>
      <c r="AH36" s="19">
        <f t="shared" si="38"/>
        <v>-430987.03000000026</v>
      </c>
      <c r="AI36" s="17">
        <f t="shared" si="89"/>
        <v>7856033</v>
      </c>
      <c r="AJ36" s="18">
        <f t="shared" si="89"/>
        <v>7117127.1399999997</v>
      </c>
      <c r="AK36" s="18">
        <f t="shared" si="89"/>
        <v>6993539.580000001</v>
      </c>
      <c r="AL36" s="19">
        <f t="shared" si="72"/>
        <v>-738905.86000000034</v>
      </c>
      <c r="AM36" s="17">
        <v>1540006</v>
      </c>
      <c r="AN36" s="18">
        <f>969645.18+382361.38</f>
        <v>1352006.56</v>
      </c>
      <c r="AO36" s="43">
        <f>980744.29+382361.38-7148.58</f>
        <v>1355957.0899999999</v>
      </c>
      <c r="AP36" s="20">
        <f t="shared" si="73"/>
        <v>-187999.43999999994</v>
      </c>
      <c r="AQ36" s="17">
        <v>1410509</v>
      </c>
      <c r="AR36" s="18">
        <f>382361.38+852649.61</f>
        <v>1235010.99</v>
      </c>
      <c r="AS36" s="43">
        <f>890970.39+382361.38-4598.28</f>
        <v>1268733.49</v>
      </c>
      <c r="AT36" s="20">
        <f t="shared" si="74"/>
        <v>-175498.01</v>
      </c>
      <c r="AU36" s="17">
        <v>1475257</v>
      </c>
      <c r="AV36" s="18">
        <f>963187.26+382361.38</f>
        <v>1345548.6400000001</v>
      </c>
      <c r="AW36" s="43">
        <f>909238.77-3677.61+382361.38</f>
        <v>1287922.54</v>
      </c>
      <c r="AX36" s="20">
        <f>AV36-AU36</f>
        <v>-129708.35999999987</v>
      </c>
      <c r="AY36" s="17">
        <f t="shared" si="90"/>
        <v>4425772</v>
      </c>
      <c r="AZ36" s="18">
        <f t="shared" si="90"/>
        <v>3932566.19</v>
      </c>
      <c r="BA36" s="18">
        <f t="shared" si="90"/>
        <v>3912613.12</v>
      </c>
      <c r="BB36" s="19">
        <f t="shared" si="75"/>
        <v>-493205.81000000006</v>
      </c>
      <c r="BC36" s="190">
        <f t="shared" si="91"/>
        <v>12281805</v>
      </c>
      <c r="BD36" s="84">
        <f t="shared" si="91"/>
        <v>11049693.33</v>
      </c>
      <c r="BE36" s="84">
        <f>Q36+AG36+BA36</f>
        <v>10906152.700000001</v>
      </c>
      <c r="BF36" s="170">
        <f t="shared" si="44"/>
        <v>-1232111.67</v>
      </c>
      <c r="BG36" s="83">
        <v>1475257</v>
      </c>
      <c r="BH36" s="18">
        <f>382361.38+961554.89-9463.83</f>
        <v>1334452.44</v>
      </c>
      <c r="BI36" s="43">
        <f>382361.38+870674.78-10282.59</f>
        <v>1242753.57</v>
      </c>
      <c r="BJ36" s="41">
        <f t="shared" si="31"/>
        <v>-140804.56000000006</v>
      </c>
      <c r="BK36" s="44">
        <v>1337666</v>
      </c>
      <c r="BL36" s="43">
        <f>382361.38+744846.59-6050.22</f>
        <v>1121157.75</v>
      </c>
      <c r="BM36" s="43">
        <f>382361.38+1075707.84-9463.83-223048.96+24424.04</f>
        <v>1249980.4700000002</v>
      </c>
      <c r="BN36" s="41">
        <f t="shared" si="45"/>
        <v>-216508.25</v>
      </c>
      <c r="BO36" s="44">
        <v>1531912</v>
      </c>
      <c r="BP36" s="43">
        <f>2109316.32+382361.38-3194.94</f>
        <v>2488482.7599999998</v>
      </c>
      <c r="BQ36" s="43">
        <f>1609310.68+382361.38-9245.16</f>
        <v>1982426.9000000001</v>
      </c>
      <c r="BR36" s="41">
        <f t="shared" si="46"/>
        <v>956570.75999999978</v>
      </c>
      <c r="BS36" s="17">
        <f t="shared" si="63"/>
        <v>4344835</v>
      </c>
      <c r="BT36" s="18">
        <f t="shared" si="63"/>
        <v>4944092.9499999993</v>
      </c>
      <c r="BU36" s="18">
        <f t="shared" si="63"/>
        <v>4475160.9400000004</v>
      </c>
      <c r="BV36" s="20">
        <f t="shared" si="47"/>
        <v>599257.94999999925</v>
      </c>
      <c r="BW36" s="17">
        <f t="shared" si="92"/>
        <v>8770607</v>
      </c>
      <c r="BX36" s="18">
        <f t="shared" si="92"/>
        <v>8876659.1399999987</v>
      </c>
      <c r="BY36" s="18">
        <f t="shared" si="92"/>
        <v>8387774.0600000005</v>
      </c>
      <c r="BZ36" s="20">
        <f t="shared" si="48"/>
        <v>106052.13999999873</v>
      </c>
      <c r="CA36" s="17">
        <f t="shared" si="93"/>
        <v>16626640</v>
      </c>
      <c r="CB36" s="18">
        <f t="shared" si="93"/>
        <v>15993786.279999997</v>
      </c>
      <c r="CC36" s="43">
        <f t="shared" si="93"/>
        <v>15381313.640000001</v>
      </c>
      <c r="CD36" s="20">
        <f t="shared" ref="CD36:CD39" si="95">CB36-CA36</f>
        <v>-632853.72000000253</v>
      </c>
      <c r="CE36" s="3"/>
      <c r="CH36" s="3"/>
      <c r="CJ36" s="91">
        <f t="shared" si="94"/>
        <v>4344835</v>
      </c>
      <c r="CK36" s="91">
        <f t="shared" si="94"/>
        <v>4944092.9499999993</v>
      </c>
      <c r="CL36" s="91">
        <f t="shared" si="94"/>
        <v>4475160.9400000004</v>
      </c>
      <c r="CM36" s="91">
        <f t="shared" si="94"/>
        <v>599257.94999999972</v>
      </c>
      <c r="CN36" s="91">
        <f t="shared" si="86"/>
        <v>16626640</v>
      </c>
      <c r="CO36" s="91">
        <f t="shared" si="86"/>
        <v>15993786.279999999</v>
      </c>
      <c r="CP36" s="91">
        <f t="shared" si="86"/>
        <v>15381313.640000001</v>
      </c>
      <c r="CQ36" s="91">
        <f t="shared" si="86"/>
        <v>-632853.72000000067</v>
      </c>
    </row>
    <row r="37" spans="1:95" ht="16.5" x14ac:dyDescent="0.3">
      <c r="A37" s="9">
        <v>3</v>
      </c>
      <c r="B37" s="10" t="s">
        <v>152</v>
      </c>
      <c r="C37" s="174">
        <v>347757.11</v>
      </c>
      <c r="D37" s="43">
        <v>210603.12</v>
      </c>
      <c r="E37" s="43">
        <v>277298.89</v>
      </c>
      <c r="F37" s="177">
        <f t="shared" si="78"/>
        <v>-137153.99</v>
      </c>
      <c r="G37" s="115">
        <v>386865.35</v>
      </c>
      <c r="H37" s="43">
        <v>250189.4</v>
      </c>
      <c r="I37" s="43">
        <v>210603.12</v>
      </c>
      <c r="J37" s="37">
        <f t="shared" si="79"/>
        <v>-136675.94999999998</v>
      </c>
      <c r="K37" s="44">
        <v>425973.59</v>
      </c>
      <c r="L37" s="43">
        <v>295875.75</v>
      </c>
      <c r="M37" s="43">
        <f>250189.4-17.75</f>
        <v>250171.65</v>
      </c>
      <c r="N37" s="37">
        <f t="shared" si="80"/>
        <v>-130097.84000000003</v>
      </c>
      <c r="O37" s="95">
        <f t="shared" si="87"/>
        <v>1160596.0499999998</v>
      </c>
      <c r="P37" s="95">
        <f t="shared" si="87"/>
        <v>756668.27</v>
      </c>
      <c r="Q37" s="95">
        <f t="shared" si="87"/>
        <v>738073.66</v>
      </c>
      <c r="R37" s="40">
        <f t="shared" si="88"/>
        <v>-403927.7799999998</v>
      </c>
      <c r="S37" s="44">
        <v>443083.45</v>
      </c>
      <c r="T37" s="43">
        <v>185213.43</v>
      </c>
      <c r="U37" s="43">
        <v>295875.75</v>
      </c>
      <c r="V37" s="37">
        <f t="shared" si="83"/>
        <v>-257870.02000000002</v>
      </c>
      <c r="W37" s="44">
        <v>345312.84</v>
      </c>
      <c r="X37" s="43">
        <v>176009.63</v>
      </c>
      <c r="Y37" s="37">
        <v>185213.43</v>
      </c>
      <c r="Z37" s="43">
        <f t="shared" si="37"/>
        <v>-169303.21000000002</v>
      </c>
      <c r="AA37" s="115">
        <v>423529.33</v>
      </c>
      <c r="AB37" s="43">
        <v>202000.68</v>
      </c>
      <c r="AC37" s="43">
        <v>176872.4</v>
      </c>
      <c r="AD37" s="37">
        <f t="shared" si="30"/>
        <v>-221528.65000000002</v>
      </c>
      <c r="AE37" s="17">
        <f t="shared" si="84"/>
        <v>1211925.6200000001</v>
      </c>
      <c r="AF37" s="43">
        <f t="shared" si="84"/>
        <v>563223.74</v>
      </c>
      <c r="AG37" s="43">
        <f>U37+Y37+AC37</f>
        <v>657961.57999999996</v>
      </c>
      <c r="AH37" s="37">
        <f t="shared" si="38"/>
        <v>-648701.88000000012</v>
      </c>
      <c r="AI37" s="44">
        <f t="shared" si="89"/>
        <v>2372521.67</v>
      </c>
      <c r="AJ37" s="43">
        <f t="shared" si="89"/>
        <v>1319892.01</v>
      </c>
      <c r="AK37" s="43">
        <f t="shared" si="89"/>
        <v>1396035.24</v>
      </c>
      <c r="AL37" s="37">
        <f t="shared" si="72"/>
        <v>-1052629.6599999999</v>
      </c>
      <c r="AM37" s="44">
        <v>465081.83</v>
      </c>
      <c r="AN37" s="18">
        <v>216538.68</v>
      </c>
      <c r="AO37" s="43">
        <v>202000.68</v>
      </c>
      <c r="AP37" s="41">
        <f t="shared" si="73"/>
        <v>-248543.15000000002</v>
      </c>
      <c r="AQ37" s="44">
        <v>425973.59</v>
      </c>
      <c r="AR37" s="43">
        <v>195242.21</v>
      </c>
      <c r="AS37" s="43">
        <v>216538.68</v>
      </c>
      <c r="AT37" s="41">
        <f t="shared" si="74"/>
        <v>-230731.38000000003</v>
      </c>
      <c r="AU37" s="44">
        <v>445527.71</v>
      </c>
      <c r="AV37" s="116">
        <v>211976.79</v>
      </c>
      <c r="AW37" s="43">
        <v>195242.23</v>
      </c>
      <c r="AX37" s="41">
        <f>AW37-AU37</f>
        <v>-250285.48</v>
      </c>
      <c r="AY37" s="17">
        <f t="shared" si="90"/>
        <v>1336583.1300000001</v>
      </c>
      <c r="AZ37" s="43">
        <f t="shared" si="90"/>
        <v>623757.68000000005</v>
      </c>
      <c r="BA37" s="43">
        <f t="shared" si="90"/>
        <v>613781.59</v>
      </c>
      <c r="BB37" s="37">
        <f t="shared" si="75"/>
        <v>-712825.45000000007</v>
      </c>
      <c r="BC37" s="190">
        <f t="shared" si="91"/>
        <v>3709104.8</v>
      </c>
      <c r="BD37" s="117">
        <f t="shared" si="91"/>
        <v>1943649.69</v>
      </c>
      <c r="BE37" s="84">
        <f>Q37+AG37+BA37</f>
        <v>2009816.83</v>
      </c>
      <c r="BF37" s="177">
        <f t="shared" si="44"/>
        <v>-1765455.1099999999</v>
      </c>
      <c r="BG37" s="115">
        <v>445527.71</v>
      </c>
      <c r="BH37" s="43">
        <v>213296.01</v>
      </c>
      <c r="BI37" s="116">
        <v>211976.79</v>
      </c>
      <c r="BJ37" s="41">
        <f t="shared" si="31"/>
        <v>-232231.7</v>
      </c>
      <c r="BK37" s="44">
        <v>403975.2</v>
      </c>
      <c r="BL37" s="43">
        <v>174968.31</v>
      </c>
      <c r="BM37" s="43">
        <v>213296.01</v>
      </c>
      <c r="BN37" s="41">
        <f t="shared" si="45"/>
        <v>-229006.89</v>
      </c>
      <c r="BO37" s="44">
        <v>462637.57</v>
      </c>
      <c r="BP37" s="116">
        <v>239368.97</v>
      </c>
      <c r="BQ37" s="43">
        <f>BP37+BL37+855.31</f>
        <v>415192.59</v>
      </c>
      <c r="BR37" s="41">
        <f t="shared" si="46"/>
        <v>-223268.6</v>
      </c>
      <c r="BS37" s="44">
        <f t="shared" si="63"/>
        <v>1312140.48</v>
      </c>
      <c r="BT37" s="43">
        <f t="shared" si="63"/>
        <v>627633.29</v>
      </c>
      <c r="BU37" s="43">
        <f t="shared" si="63"/>
        <v>840465.39000000013</v>
      </c>
      <c r="BV37" s="41">
        <f t="shared" si="47"/>
        <v>-684507.19</v>
      </c>
      <c r="BW37" s="44">
        <f t="shared" si="92"/>
        <v>2648723.6100000003</v>
      </c>
      <c r="BX37" s="43">
        <f t="shared" si="92"/>
        <v>1251390.9700000002</v>
      </c>
      <c r="BY37" s="43">
        <f t="shared" si="92"/>
        <v>1454246.98</v>
      </c>
      <c r="BZ37" s="41">
        <f t="shared" si="48"/>
        <v>-1397332.6400000001</v>
      </c>
      <c r="CA37" s="44">
        <f t="shared" si="93"/>
        <v>5021245.28</v>
      </c>
      <c r="CB37" s="18">
        <f t="shared" si="93"/>
        <v>2571282.9800000004</v>
      </c>
      <c r="CC37" s="43">
        <f t="shared" si="93"/>
        <v>2850282.2199999997</v>
      </c>
      <c r="CD37" s="20">
        <f t="shared" si="95"/>
        <v>-2449962.2999999998</v>
      </c>
      <c r="CH37" s="3"/>
      <c r="CJ37" s="91">
        <f t="shared" si="94"/>
        <v>1312140.48</v>
      </c>
      <c r="CK37" s="91">
        <f t="shared" si="94"/>
        <v>627633.29</v>
      </c>
      <c r="CL37" s="91">
        <f t="shared" si="94"/>
        <v>840465.39000000013</v>
      </c>
      <c r="CM37" s="91">
        <f t="shared" si="94"/>
        <v>-684507.19000000006</v>
      </c>
      <c r="CN37" s="91">
        <f t="shared" si="86"/>
        <v>5021245.2799999993</v>
      </c>
      <c r="CO37" s="91">
        <f t="shared" si="86"/>
        <v>2571282.98</v>
      </c>
      <c r="CP37" s="91">
        <f t="shared" si="86"/>
        <v>2850282.22</v>
      </c>
      <c r="CQ37" s="91">
        <f t="shared" si="86"/>
        <v>-2449962.2999999998</v>
      </c>
    </row>
    <row r="38" spans="1:95" ht="16.5" x14ac:dyDescent="0.3">
      <c r="A38" s="9">
        <v>4</v>
      </c>
      <c r="B38" s="38" t="s">
        <v>50</v>
      </c>
      <c r="C38" s="174">
        <v>30000</v>
      </c>
      <c r="D38" s="43">
        <f>6199.38+9523.11+3500+3053+9290</f>
        <v>31565.49</v>
      </c>
      <c r="E38" s="43">
        <f>9983.14+9523.11+9290+3500+3053+6199.38-2307.04-1335.3-1889-1735.3</f>
        <v>34281.989999999991</v>
      </c>
      <c r="F38" s="170">
        <f t="shared" si="78"/>
        <v>1565.4900000000016</v>
      </c>
      <c r="G38" s="83">
        <v>30000</v>
      </c>
      <c r="H38" s="18">
        <f>1779.9</f>
        <v>1779.9</v>
      </c>
      <c r="I38" s="43">
        <f>15446.45+1779.9-56-1211-3460.8</f>
        <v>12498.550000000003</v>
      </c>
      <c r="J38" s="19">
        <f t="shared" si="79"/>
        <v>-28220.1</v>
      </c>
      <c r="K38" s="17">
        <v>30000</v>
      </c>
      <c r="L38" s="18">
        <f>6935.89+7480+1500+4035+2580+1391</f>
        <v>23921.89</v>
      </c>
      <c r="M38" s="18">
        <f>10906.89+11515+1653+1500-3080.8-12422.5-2854.98</f>
        <v>7216.6100000000006</v>
      </c>
      <c r="N38" s="19">
        <f t="shared" si="80"/>
        <v>-6078.1100000000006</v>
      </c>
      <c r="O38" s="17">
        <f t="shared" ref="O38:O51" si="96">C38+G38+K38</f>
        <v>90000</v>
      </c>
      <c r="P38" s="43">
        <f t="shared" si="87"/>
        <v>57267.28</v>
      </c>
      <c r="Q38" s="43">
        <f t="shared" si="87"/>
        <v>53997.149999999994</v>
      </c>
      <c r="R38" s="19">
        <f t="shared" si="88"/>
        <v>-32732.720000000001</v>
      </c>
      <c r="S38" s="17">
        <v>50000</v>
      </c>
      <c r="T38" s="18">
        <f>10858.17+3814+1653</f>
        <v>16325.17</v>
      </c>
      <c r="U38" s="43">
        <f>20243.07+16795.26+3400-17940.77-1455.79-132.5</f>
        <v>20909.27</v>
      </c>
      <c r="V38" s="19">
        <f t="shared" si="83"/>
        <v>-33674.83</v>
      </c>
      <c r="W38" s="17">
        <v>50000</v>
      </c>
      <c r="X38" s="18">
        <f>7262.5+5937.09+3500+1900+1173.25</f>
        <v>19772.84</v>
      </c>
      <c r="Y38" s="37">
        <f>3500+1173.25+1900-551.48</f>
        <v>6021.77</v>
      </c>
      <c r="Z38" s="43">
        <f t="shared" si="37"/>
        <v>-30227.16</v>
      </c>
      <c r="AA38" s="115">
        <v>30000</v>
      </c>
      <c r="AB38" s="43">
        <f>6695.43+2265.6+1539+8160+4191.8</f>
        <v>22851.829999999998</v>
      </c>
      <c r="AC38" s="43">
        <f>14691.83+8160</f>
        <v>22851.83</v>
      </c>
      <c r="AD38" s="19">
        <f t="shared" si="30"/>
        <v>-7148.1700000000019</v>
      </c>
      <c r="AE38" s="17">
        <f t="shared" si="84"/>
        <v>130000</v>
      </c>
      <c r="AF38" s="18">
        <f t="shared" si="84"/>
        <v>58949.84</v>
      </c>
      <c r="AG38" s="18">
        <f>U38+Y38+AC38</f>
        <v>49782.87</v>
      </c>
      <c r="AH38" s="19">
        <f t="shared" si="38"/>
        <v>-71050.16</v>
      </c>
      <c r="AI38" s="17">
        <f t="shared" si="89"/>
        <v>220000</v>
      </c>
      <c r="AJ38" s="18">
        <f t="shared" si="89"/>
        <v>116217.12</v>
      </c>
      <c r="AK38" s="18">
        <f t="shared" si="89"/>
        <v>103780.01999999999</v>
      </c>
      <c r="AL38" s="19">
        <f t="shared" si="72"/>
        <v>-103782.88</v>
      </c>
      <c r="AM38" s="17">
        <v>30000</v>
      </c>
      <c r="AN38" s="18">
        <f>3500+6794.43+3950+12000+3880+34486.86+600+3827.3</f>
        <v>69038.59</v>
      </c>
      <c r="AO38" s="43">
        <f>34486.86+14022.3+174+3880+3500+12000+600+3827.3</f>
        <v>72490.460000000006</v>
      </c>
      <c r="AP38" s="20">
        <f t="shared" si="73"/>
        <v>39038.589999999997</v>
      </c>
      <c r="AQ38" s="17">
        <v>30000</v>
      </c>
      <c r="AR38" s="18">
        <f>7227.87+5740+3742.33</f>
        <v>16710.199999999997</v>
      </c>
      <c r="AS38" s="43">
        <f>6502.45+3345+1774+7284.33+3577.75+5740+239</f>
        <v>28462.53</v>
      </c>
      <c r="AT38" s="20">
        <f t="shared" si="74"/>
        <v>-13289.800000000003</v>
      </c>
      <c r="AU38" s="17">
        <v>50000</v>
      </c>
      <c r="AV38" s="18">
        <f>6299.91+11560+8543.8+4580</f>
        <v>30983.71</v>
      </c>
      <c r="AW38" s="43">
        <f>14843.71+16140+1995+11006.94+145.57-761.84</f>
        <v>43369.380000000005</v>
      </c>
      <c r="AX38" s="20">
        <f t="shared" ref="AX38:AX51" si="97">AV38-AU38</f>
        <v>-19016.29</v>
      </c>
      <c r="AY38" s="17">
        <f t="shared" si="90"/>
        <v>110000</v>
      </c>
      <c r="AZ38" s="18">
        <f t="shared" si="90"/>
        <v>116732.5</v>
      </c>
      <c r="BA38" s="18">
        <f t="shared" si="90"/>
        <v>144322.37</v>
      </c>
      <c r="BB38" s="19">
        <f t="shared" si="75"/>
        <v>6732.5</v>
      </c>
      <c r="BC38" s="190">
        <f t="shared" si="91"/>
        <v>330000</v>
      </c>
      <c r="BD38" s="84">
        <f t="shared" si="91"/>
        <v>232949.62</v>
      </c>
      <c r="BE38" s="84">
        <f>Q38+AG38+BA38</f>
        <v>248102.38999999998</v>
      </c>
      <c r="BF38" s="170">
        <f t="shared" si="44"/>
        <v>-97050.38</v>
      </c>
      <c r="BG38" s="83">
        <v>30000</v>
      </c>
      <c r="BH38" s="18">
        <f>3500+1912+5357.37+1125</f>
        <v>11894.369999999999</v>
      </c>
      <c r="BI38" s="43">
        <f>44827.75+10116.12+3500+1125+1912</f>
        <v>61480.87</v>
      </c>
      <c r="BJ38" s="41">
        <f t="shared" si="31"/>
        <v>-18105.63</v>
      </c>
      <c r="BK38" s="44">
        <v>30000</v>
      </c>
      <c r="BL38" s="43">
        <f>5175+5371.2+4758.75+3850+11340+2925.69+720.9+58.5+5198.25</f>
        <v>39398.29</v>
      </c>
      <c r="BM38" s="43">
        <f>16875.87+5371.2+11340+3850</f>
        <v>37437.07</v>
      </c>
      <c r="BN38" s="41">
        <f t="shared" si="45"/>
        <v>9398.2900000000009</v>
      </c>
      <c r="BO38" s="44">
        <v>30000</v>
      </c>
      <c r="BP38" s="43">
        <f>1430.4+8574.84+5700+1181.5+3400+8025+9000+4952.46</f>
        <v>42264.2</v>
      </c>
      <c r="BQ38" s="43">
        <f>56586.39+16553.56+3400+5700+8025-17048.38-257-4300.83-1175.8-650</f>
        <v>66832.939999999988</v>
      </c>
      <c r="BR38" s="41">
        <f t="shared" si="46"/>
        <v>12264.199999999997</v>
      </c>
      <c r="BS38" s="17">
        <f t="shared" si="63"/>
        <v>90000</v>
      </c>
      <c r="BT38" s="18">
        <f t="shared" si="63"/>
        <v>93556.86</v>
      </c>
      <c r="BU38" s="18">
        <f t="shared" si="63"/>
        <v>165750.88</v>
      </c>
      <c r="BV38" s="20">
        <f t="shared" si="47"/>
        <v>3556.8600000000006</v>
      </c>
      <c r="BW38" s="17">
        <f t="shared" si="92"/>
        <v>200000</v>
      </c>
      <c r="BX38" s="18">
        <f t="shared" si="92"/>
        <v>210289.36</v>
      </c>
      <c r="BY38" s="18">
        <f t="shared" si="92"/>
        <v>310073.25</v>
      </c>
      <c r="BZ38" s="20">
        <f t="shared" si="48"/>
        <v>10289.359999999986</v>
      </c>
      <c r="CA38" s="17">
        <f t="shared" si="93"/>
        <v>420000</v>
      </c>
      <c r="CB38" s="18">
        <f t="shared" si="93"/>
        <v>326506.48</v>
      </c>
      <c r="CC38" s="43">
        <f t="shared" si="93"/>
        <v>413853.27</v>
      </c>
      <c r="CD38" s="20">
        <f t="shared" si="95"/>
        <v>-93493.520000000019</v>
      </c>
      <c r="CH38" s="3"/>
      <c r="CJ38" s="91">
        <f t="shared" si="94"/>
        <v>90000</v>
      </c>
      <c r="CK38" s="91">
        <f t="shared" si="94"/>
        <v>93556.86</v>
      </c>
      <c r="CL38" s="91">
        <f t="shared" si="94"/>
        <v>165750.88</v>
      </c>
      <c r="CM38" s="91">
        <f t="shared" si="94"/>
        <v>3556.8599999999969</v>
      </c>
      <c r="CN38" s="91">
        <f t="shared" si="86"/>
        <v>420000</v>
      </c>
      <c r="CO38" s="91">
        <f t="shared" si="86"/>
        <v>326506.48</v>
      </c>
      <c r="CP38" s="91">
        <f t="shared" si="86"/>
        <v>413853.27</v>
      </c>
      <c r="CQ38" s="91">
        <f t="shared" si="86"/>
        <v>-93493.52</v>
      </c>
    </row>
    <row r="39" spans="1:95" ht="16.5" x14ac:dyDescent="0.3">
      <c r="A39" s="9">
        <v>5</v>
      </c>
      <c r="B39" s="39" t="s">
        <v>51</v>
      </c>
      <c r="C39" s="174">
        <v>6232.17</v>
      </c>
      <c r="D39" s="18"/>
      <c r="E39" s="43"/>
      <c r="F39" s="170">
        <f t="shared" si="78"/>
        <v>-6232.17</v>
      </c>
      <c r="G39" s="83">
        <v>121860.13</v>
      </c>
      <c r="H39" s="18"/>
      <c r="I39" s="118"/>
      <c r="J39" s="19">
        <f t="shared" si="79"/>
        <v>-121860.13</v>
      </c>
      <c r="K39" s="17">
        <f>73579.63-0.74</f>
        <v>73578.89</v>
      </c>
      <c r="L39" s="18"/>
      <c r="M39" s="43"/>
      <c r="N39" s="19">
        <f t="shared" si="80"/>
        <v>-73578.89</v>
      </c>
      <c r="O39" s="17">
        <f t="shared" si="96"/>
        <v>201671.19</v>
      </c>
      <c r="P39" s="43">
        <f t="shared" si="87"/>
        <v>0</v>
      </c>
      <c r="Q39" s="43">
        <f t="shared" si="87"/>
        <v>0</v>
      </c>
      <c r="R39" s="19">
        <f t="shared" si="88"/>
        <v>-201671.19</v>
      </c>
      <c r="S39" s="17">
        <v>39814.620000000003</v>
      </c>
      <c r="T39" s="18"/>
      <c r="U39" s="18"/>
      <c r="V39" s="19">
        <f t="shared" si="83"/>
        <v>-39814.620000000003</v>
      </c>
      <c r="W39" s="83">
        <v>170328.95</v>
      </c>
      <c r="X39" s="18"/>
      <c r="Y39" s="19"/>
      <c r="Z39" s="18">
        <f t="shared" si="37"/>
        <v>-170328.95</v>
      </c>
      <c r="AA39" s="83">
        <v>74617.490000000005</v>
      </c>
      <c r="AB39" s="18"/>
      <c r="AC39" s="43"/>
      <c r="AD39" s="19">
        <f t="shared" si="30"/>
        <v>-74617.490000000005</v>
      </c>
      <c r="AE39" s="17">
        <f t="shared" si="84"/>
        <v>284761.06</v>
      </c>
      <c r="AF39" s="18"/>
      <c r="AG39" s="18"/>
      <c r="AH39" s="19">
        <f t="shared" si="38"/>
        <v>-284761.06</v>
      </c>
      <c r="AI39" s="17">
        <f>AE39+O39</f>
        <v>486432.25</v>
      </c>
      <c r="AJ39" s="18"/>
      <c r="AK39" s="18"/>
      <c r="AL39" s="19"/>
      <c r="AM39" s="17">
        <v>70157.649999999994</v>
      </c>
      <c r="AN39" s="18"/>
      <c r="AO39" s="43"/>
      <c r="AP39" s="20">
        <f t="shared" si="73"/>
        <v>-70157.649999999994</v>
      </c>
      <c r="AQ39" s="17">
        <v>62263.38</v>
      </c>
      <c r="AR39" s="18"/>
      <c r="AS39" s="43"/>
      <c r="AT39" s="20">
        <f t="shared" si="74"/>
        <v>-62263.38</v>
      </c>
      <c r="AU39" s="17">
        <v>60960.51</v>
      </c>
      <c r="AV39" s="18"/>
      <c r="AW39" s="43"/>
      <c r="AX39" s="20">
        <f t="shared" si="97"/>
        <v>-60960.51</v>
      </c>
      <c r="AY39" s="17">
        <f t="shared" si="90"/>
        <v>193381.54</v>
      </c>
      <c r="AZ39" s="18"/>
      <c r="BA39" s="18"/>
      <c r="BB39" s="19"/>
      <c r="BC39" s="190">
        <f t="shared" si="91"/>
        <v>679813.79</v>
      </c>
      <c r="BD39" s="84">
        <f t="shared" si="91"/>
        <v>0</v>
      </c>
      <c r="BE39" s="84">
        <f>Q39+AG39+BA39</f>
        <v>0</v>
      </c>
      <c r="BF39" s="170">
        <f t="shared" si="44"/>
        <v>-679813.79</v>
      </c>
      <c r="BG39" s="83">
        <v>12010.51</v>
      </c>
      <c r="BH39" s="18"/>
      <c r="BI39" s="43"/>
      <c r="BJ39" s="41">
        <f t="shared" si="31"/>
        <v>-12010.51</v>
      </c>
      <c r="BK39" s="44">
        <v>11604.1</v>
      </c>
      <c r="BL39" s="43"/>
      <c r="BM39" s="43"/>
      <c r="BN39" s="41">
        <f t="shared" si="45"/>
        <v>-11604.1</v>
      </c>
      <c r="BO39" s="44">
        <v>11695.5</v>
      </c>
      <c r="BP39" s="43"/>
      <c r="BQ39" s="43"/>
      <c r="BR39" s="41">
        <f t="shared" si="46"/>
        <v>-11695.5</v>
      </c>
      <c r="BS39" s="17">
        <f t="shared" si="63"/>
        <v>35310.11</v>
      </c>
      <c r="BT39" s="18">
        <f t="shared" si="63"/>
        <v>0</v>
      </c>
      <c r="BU39" s="18">
        <f t="shared" si="63"/>
        <v>0</v>
      </c>
      <c r="BV39" s="20">
        <f t="shared" si="47"/>
        <v>-35310.11</v>
      </c>
      <c r="BW39" s="17">
        <f t="shared" si="92"/>
        <v>228691.65000000002</v>
      </c>
      <c r="BX39" s="18">
        <f t="shared" si="92"/>
        <v>0</v>
      </c>
      <c r="BY39" s="18">
        <f t="shared" si="92"/>
        <v>0</v>
      </c>
      <c r="BZ39" s="20">
        <f t="shared" si="48"/>
        <v>-228691.65000000002</v>
      </c>
      <c r="CA39" s="17">
        <f>BW39+AI39</f>
        <v>715123.9</v>
      </c>
      <c r="CB39" s="43">
        <f t="shared" si="93"/>
        <v>0</v>
      </c>
      <c r="CC39" s="43">
        <f t="shared" si="93"/>
        <v>0</v>
      </c>
      <c r="CD39" s="20">
        <f t="shared" si="95"/>
        <v>-715123.9</v>
      </c>
      <c r="CH39" s="3"/>
      <c r="CJ39" s="91">
        <f t="shared" si="94"/>
        <v>35310.11</v>
      </c>
      <c r="CK39" s="91">
        <f t="shared" si="94"/>
        <v>0</v>
      </c>
      <c r="CL39" s="91">
        <f t="shared" si="94"/>
        <v>0</v>
      </c>
      <c r="CM39" s="91">
        <f t="shared" si="94"/>
        <v>-35310.11</v>
      </c>
      <c r="CN39" s="91">
        <f t="shared" si="86"/>
        <v>715123.9</v>
      </c>
      <c r="CO39" s="91">
        <f t="shared" si="86"/>
        <v>0</v>
      </c>
      <c r="CP39" s="91">
        <f t="shared" si="86"/>
        <v>0</v>
      </c>
      <c r="CQ39" s="91">
        <f t="shared" si="86"/>
        <v>-521742.36</v>
      </c>
    </row>
    <row r="40" spans="1:95" ht="16.5" x14ac:dyDescent="0.3">
      <c r="A40" s="9">
        <v>6</v>
      </c>
      <c r="B40" s="10" t="s">
        <v>52</v>
      </c>
      <c r="C40" s="168">
        <f>C41+C42++C45+C46+C49+C52+C56</f>
        <v>357500</v>
      </c>
      <c r="D40" s="31">
        <f>D41+D42++D45+D46+D49+D52+D56</f>
        <v>114662.85</v>
      </c>
      <c r="E40" s="95">
        <f>E41+E42++E45+E46+E49+E52+E56</f>
        <v>182062.84999999998</v>
      </c>
      <c r="F40" s="170">
        <f t="shared" si="78"/>
        <v>-242837.15</v>
      </c>
      <c r="G40" s="89">
        <f>G41+G42++G45+G46+G49+G52+G56</f>
        <v>357500</v>
      </c>
      <c r="H40" s="31">
        <f>H41+H42++H45+H46+H49+H52+H56</f>
        <v>414424.24000000005</v>
      </c>
      <c r="I40" s="95">
        <f>I41+I42++I45+I46+I49+I52+I56</f>
        <v>295313.28000000003</v>
      </c>
      <c r="J40" s="19">
        <f t="shared" si="79"/>
        <v>56924.240000000049</v>
      </c>
      <c r="K40" s="31">
        <f>K41+K42++K45+K46+K49+K52+K56</f>
        <v>362500</v>
      </c>
      <c r="L40" s="31">
        <f>L41+L42++L45+L46+L49+L52+L56</f>
        <v>409617.62</v>
      </c>
      <c r="M40" s="95">
        <f>M41+M42++M45+M46+M49+M52+M56</f>
        <v>729888.61</v>
      </c>
      <c r="N40" s="19">
        <f t="shared" si="80"/>
        <v>47117.619999999995</v>
      </c>
      <c r="O40" s="95">
        <f t="shared" ref="O40" si="98">K40+G40+C40</f>
        <v>1077500</v>
      </c>
      <c r="P40" s="95">
        <f t="shared" si="87"/>
        <v>938704.71000000008</v>
      </c>
      <c r="Q40" s="95">
        <f t="shared" si="87"/>
        <v>1207264.74</v>
      </c>
      <c r="R40" s="30">
        <f t="shared" si="88"/>
        <v>-138795.28999999992</v>
      </c>
      <c r="S40" s="31">
        <f>S41+S42++S45+S46+S49+S52+S56</f>
        <v>254000</v>
      </c>
      <c r="T40" s="31">
        <f>T41+T42++T45+T46+T49+T52+T56</f>
        <v>42265.33</v>
      </c>
      <c r="U40" s="31">
        <f>U41+U42++U45+U46+U49+U52+U56</f>
        <v>77665.62</v>
      </c>
      <c r="V40" s="30">
        <f t="shared" si="83"/>
        <v>-211734.66999999998</v>
      </c>
      <c r="W40" s="31">
        <f>W41+W42++W45+W46+W49+W52+W56</f>
        <v>594000</v>
      </c>
      <c r="X40" s="31">
        <f>X41+X42++X45+X46+X49+X52+X56</f>
        <v>117785.85</v>
      </c>
      <c r="Y40" s="30">
        <f>Y41+Y42++Y45+Y46+Y49+Y52+Y56</f>
        <v>173656.96000000002</v>
      </c>
      <c r="Z40" s="31">
        <f t="shared" si="37"/>
        <v>-476214.15</v>
      </c>
      <c r="AA40" s="89">
        <f>AA41+AA42++AA45+AA46+AA49+AA52+AA56</f>
        <v>364000</v>
      </c>
      <c r="AB40" s="31">
        <f>AB41+AB42++AB45+AB46+AB49+AB52+AB56</f>
        <v>357850.96</v>
      </c>
      <c r="AC40" s="95">
        <f>AC41+AC42++AC45+AC46+AC49+AC52+AC56</f>
        <v>223348.90999999997</v>
      </c>
      <c r="AD40" s="30">
        <f t="shared" si="30"/>
        <v>-6149.039999999979</v>
      </c>
      <c r="AE40" s="25">
        <f>AE41+AE42++AE45+AE46+AE49+AE52+AE56</f>
        <v>1212000</v>
      </c>
      <c r="AF40" s="31">
        <f>AF41+AF42++AF45+AF46+AF49+AF52+AF56</f>
        <v>517902.14</v>
      </c>
      <c r="AG40" s="31">
        <f>AG41+AG42++AG45+AG46+AG49+AG52+AG56</f>
        <v>474671.49000000005</v>
      </c>
      <c r="AH40" s="19">
        <f t="shared" si="38"/>
        <v>-694097.86</v>
      </c>
      <c r="AI40" s="25">
        <f>AI41+AI42++AI45+AI46+AI49+AI52+AI56</f>
        <v>2289500</v>
      </c>
      <c r="AJ40" s="31">
        <f>AJ41+AJ42++AJ45+AJ46+AJ49+AJ52+AJ56</f>
        <v>1456606.85</v>
      </c>
      <c r="AK40" s="31">
        <f>AK41+AK42++AK45+AK46+AK49+AK52+AK56</f>
        <v>1681936.23</v>
      </c>
      <c r="AL40" s="30">
        <f t="shared" ref="AL40:AL51" si="99">AJ40-AI40</f>
        <v>-832893.14999999991</v>
      </c>
      <c r="AM40" s="25">
        <f>AM41+AM42++AM45+AM46+AM49+AM52+AM56</f>
        <v>219000</v>
      </c>
      <c r="AN40" s="31">
        <f>AN41+AN42++AN45+AN46+AN49+AN52+AN56</f>
        <v>233144.15000000002</v>
      </c>
      <c r="AO40" s="95">
        <f>AO41+AO42++AO45+AO46+AO49+AO52+AO56</f>
        <v>566684.52</v>
      </c>
      <c r="AP40" s="32">
        <f t="shared" si="73"/>
        <v>14144.150000000023</v>
      </c>
      <c r="AQ40" s="25">
        <f>AQ41+AQ42++AQ45+AQ46+AQ49+AQ52+AQ56</f>
        <v>400000</v>
      </c>
      <c r="AR40" s="31">
        <f>AR41+AR42++AR45+AR46+AR49+AR52+AR56</f>
        <v>544299.71</v>
      </c>
      <c r="AS40" s="95">
        <f>AS41+AS42++AS45+AS46+AS49+AS52+AS56</f>
        <v>517622.09999999992</v>
      </c>
      <c r="AT40" s="32">
        <f t="shared" si="74"/>
        <v>144299.70999999996</v>
      </c>
      <c r="AU40" s="25">
        <f>AU41+AU42++AU45+AU46+AU49+AU52+AU56</f>
        <v>304000</v>
      </c>
      <c r="AV40" s="31">
        <f>AV41+AV42++AV45+AV46+AV49+AV52+AV56</f>
        <v>408381.52</v>
      </c>
      <c r="AW40" s="95">
        <f>AW41+AW42++AW45+AW46+AW49+AW52+AW56</f>
        <v>293472.16000000003</v>
      </c>
      <c r="AX40" s="32">
        <f t="shared" si="97"/>
        <v>104381.52000000002</v>
      </c>
      <c r="AY40" s="25">
        <f>AY41+AY42++AY45+AY46+AY49+AY52+AY56</f>
        <v>923000</v>
      </c>
      <c r="AZ40" s="25">
        <f>AZ41+AZ42++AZ45+AZ46+AZ49+AZ52+AZ56</f>
        <v>1185825.3800000001</v>
      </c>
      <c r="BA40" s="25">
        <f>BA41+BA42++BA45+BA46+BA49+BA52+BA56</f>
        <v>1377778.78</v>
      </c>
      <c r="BB40" s="30">
        <f t="shared" ref="BB40:BB51" si="100">AZ40-AY40</f>
        <v>262825.38000000012</v>
      </c>
      <c r="BC40" s="191">
        <f t="shared" si="91"/>
        <v>3212500</v>
      </c>
      <c r="BD40" s="96">
        <f t="shared" si="91"/>
        <v>2642432.2300000004</v>
      </c>
      <c r="BE40" s="96">
        <f>(AK40+BA40)</f>
        <v>3059715.01</v>
      </c>
      <c r="BF40" s="178">
        <f t="shared" si="44"/>
        <v>-570067.76999999955</v>
      </c>
      <c r="BG40" s="89">
        <f>BG41+BG42++BG45+BG46+BG49+BG52+BG56</f>
        <v>351950</v>
      </c>
      <c r="BH40" s="25">
        <f>BH41+BH42++BH45+BH46+BH49+BH52+BH56</f>
        <v>408944.10000000003</v>
      </c>
      <c r="BI40" s="90">
        <f>BI41+BI42++BI45+BI46+BI49+BI52+BI56</f>
        <v>457268.1</v>
      </c>
      <c r="BJ40" s="27">
        <f t="shared" si="31"/>
        <v>56994.100000000035</v>
      </c>
      <c r="BK40" s="90">
        <f>BK41+BK42++BK45+BK46+BK49+BK52+BK56</f>
        <v>431500</v>
      </c>
      <c r="BL40" s="90">
        <f>BL41+BL42++BL45+BL46+BL49+BL52+BL56</f>
        <v>603639.18999999994</v>
      </c>
      <c r="BM40" s="90">
        <f>BM41+BM42++BM45+BM46+BM49+BM52+BM56</f>
        <v>805131.42</v>
      </c>
      <c r="BN40" s="27">
        <f t="shared" si="45"/>
        <v>172139.18999999994</v>
      </c>
      <c r="BO40" s="90">
        <f>BO41+BO42++BO45+BO46+BO49+BO52+BO56</f>
        <v>222500</v>
      </c>
      <c r="BP40" s="90">
        <f>BP41+BP42++BP45+BP46+BP49+BP52+BP56</f>
        <v>407166.16</v>
      </c>
      <c r="BQ40" s="90">
        <f>BQ41+BQ42++BQ45+BQ46+BQ49+BQ52+BQ56</f>
        <v>493066.53</v>
      </c>
      <c r="BR40" s="27">
        <f t="shared" si="46"/>
        <v>184666.15999999997</v>
      </c>
      <c r="BS40" s="25">
        <f t="shared" si="63"/>
        <v>1005950</v>
      </c>
      <c r="BT40" s="31">
        <f t="shared" si="63"/>
        <v>1419749.45</v>
      </c>
      <c r="BU40" s="31">
        <f t="shared" si="63"/>
        <v>1755466.05</v>
      </c>
      <c r="BV40" s="32">
        <f t="shared" si="47"/>
        <v>413799.44999999995</v>
      </c>
      <c r="BW40" s="25">
        <f t="shared" si="92"/>
        <v>1928950</v>
      </c>
      <c r="BX40" s="31">
        <f t="shared" si="92"/>
        <v>2605574.83</v>
      </c>
      <c r="BY40" s="31">
        <f t="shared" si="92"/>
        <v>3133244.83</v>
      </c>
      <c r="BZ40" s="32">
        <f t="shared" si="48"/>
        <v>676624.83000000007</v>
      </c>
      <c r="CA40" s="25">
        <f>CA41+CA42++CA45+CA46+CA49+CA52+CA56</f>
        <v>4218450</v>
      </c>
      <c r="CB40" s="25">
        <f t="shared" ref="CB40:CC40" si="101">CB41+CB42++CB45+CB46+CB49+CB52+CB56</f>
        <v>4062181.6800000006</v>
      </c>
      <c r="CC40" s="25">
        <f t="shared" si="101"/>
        <v>4815181.0600000005</v>
      </c>
      <c r="CD40" s="32">
        <f>CB40-CA40</f>
        <v>-156268.31999999937</v>
      </c>
      <c r="CF40" s="3">
        <f>CC40/CC33*100</f>
        <v>10.428245964563716</v>
      </c>
      <c r="CH40" s="3"/>
      <c r="CJ40" s="209">
        <f>CJ41+CJ42+CJ45+CJ46+CJ49+CJ52+CJ56</f>
        <v>938300</v>
      </c>
      <c r="CK40" s="209">
        <f>CK41+CK42+CK45+CK46+CK49+CK52+CK56</f>
        <v>414716.76</v>
      </c>
      <c r="CL40" s="209">
        <f>CL41+CL42+CL45+CL46+CL49+CL52+CL56</f>
        <v>757133.17</v>
      </c>
      <c r="CM40" s="209">
        <f>CM41+CM42+CM45+CM46+CM49+CM52+CM56</f>
        <v>-523583.24</v>
      </c>
      <c r="CN40" s="209">
        <f t="shared" si="86"/>
        <v>4150800</v>
      </c>
      <c r="CO40" s="209">
        <f t="shared" si="86"/>
        <v>3057148.99</v>
      </c>
      <c r="CP40" s="209">
        <f t="shared" si="86"/>
        <v>3816848.1799999997</v>
      </c>
      <c r="CQ40" s="209">
        <f t="shared" si="86"/>
        <v>-1093651.0099999998</v>
      </c>
    </row>
    <row r="41" spans="1:95" ht="24.2" customHeight="1" x14ac:dyDescent="0.3">
      <c r="A41" s="9">
        <v>6.1</v>
      </c>
      <c r="B41" s="39" t="s">
        <v>53</v>
      </c>
      <c r="C41" s="174"/>
      <c r="D41" s="119"/>
      <c r="E41" s="95"/>
      <c r="F41" s="170">
        <f t="shared" si="78"/>
        <v>0</v>
      </c>
      <c r="G41" s="83"/>
      <c r="H41" s="120"/>
      <c r="I41" s="95"/>
      <c r="J41" s="19">
        <f t="shared" si="79"/>
        <v>0</v>
      </c>
      <c r="K41" s="17"/>
      <c r="L41" s="120"/>
      <c r="M41" s="95"/>
      <c r="N41" s="19">
        <f t="shared" si="80"/>
        <v>0</v>
      </c>
      <c r="O41" s="17">
        <f t="shared" si="96"/>
        <v>0</v>
      </c>
      <c r="P41" s="43">
        <f t="shared" si="87"/>
        <v>0</v>
      </c>
      <c r="Q41" s="43">
        <f t="shared" si="87"/>
        <v>0</v>
      </c>
      <c r="R41" s="19">
        <f t="shared" si="88"/>
        <v>0</v>
      </c>
      <c r="S41" s="17">
        <v>1500</v>
      </c>
      <c r="T41" s="120"/>
      <c r="U41" s="31"/>
      <c r="V41" s="19">
        <f t="shared" si="83"/>
        <v>-1500</v>
      </c>
      <c r="W41" s="17">
        <v>1500</v>
      </c>
      <c r="X41" s="120"/>
      <c r="Y41" s="30"/>
      <c r="Z41" s="18">
        <f t="shared" si="37"/>
        <v>-1500</v>
      </c>
      <c r="AA41" s="83">
        <v>1500</v>
      </c>
      <c r="AB41" s="120"/>
      <c r="AC41" s="43"/>
      <c r="AD41" s="19">
        <f t="shared" si="30"/>
        <v>-1500</v>
      </c>
      <c r="AE41" s="17">
        <f t="shared" ref="AE41:AG51" si="102">S41+W41+AA41</f>
        <v>4500</v>
      </c>
      <c r="AF41" s="18">
        <f t="shared" si="102"/>
        <v>0</v>
      </c>
      <c r="AG41" s="18">
        <f t="shared" si="102"/>
        <v>0</v>
      </c>
      <c r="AH41" s="19">
        <f t="shared" si="38"/>
        <v>-4500</v>
      </c>
      <c r="AI41" s="17">
        <f t="shared" ref="AI41:AK51" si="103">AE41+O41</f>
        <v>4500</v>
      </c>
      <c r="AJ41" s="18">
        <f t="shared" si="103"/>
        <v>0</v>
      </c>
      <c r="AK41" s="18">
        <f t="shared" si="103"/>
        <v>0</v>
      </c>
      <c r="AL41" s="19">
        <f t="shared" si="99"/>
        <v>-4500</v>
      </c>
      <c r="AM41" s="17">
        <v>1500</v>
      </c>
      <c r="AN41" s="121"/>
      <c r="AO41" s="43"/>
      <c r="AP41" s="20">
        <f t="shared" si="73"/>
        <v>-1500</v>
      </c>
      <c r="AQ41" s="17">
        <v>1500</v>
      </c>
      <c r="AR41" s="18"/>
      <c r="AS41" s="43"/>
      <c r="AT41" s="20">
        <f t="shared" si="74"/>
        <v>-1500</v>
      </c>
      <c r="AU41" s="17">
        <v>1500</v>
      </c>
      <c r="AV41" s="18"/>
      <c r="AW41" s="43"/>
      <c r="AX41" s="20">
        <f t="shared" si="97"/>
        <v>-1500</v>
      </c>
      <c r="AY41" s="17">
        <f t="shared" ref="AY41:BA51" si="104">AM41+AQ41+AU41</f>
        <v>4500</v>
      </c>
      <c r="AZ41" s="17">
        <f t="shared" si="104"/>
        <v>0</v>
      </c>
      <c r="BA41" s="18">
        <f t="shared" si="104"/>
        <v>0</v>
      </c>
      <c r="BB41" s="19">
        <f t="shared" si="100"/>
        <v>-4500</v>
      </c>
      <c r="BC41" s="190">
        <f t="shared" si="91"/>
        <v>9000</v>
      </c>
      <c r="BD41" s="84">
        <f t="shared" si="91"/>
        <v>0</v>
      </c>
      <c r="BE41" s="84">
        <f>Q41+AG41+BA41</f>
        <v>0</v>
      </c>
      <c r="BF41" s="170">
        <f t="shared" si="44"/>
        <v>-9000</v>
      </c>
      <c r="BG41" s="83">
        <v>1800</v>
      </c>
      <c r="BH41" s="122"/>
      <c r="BI41" s="18"/>
      <c r="BJ41" s="41">
        <f t="shared" si="31"/>
        <v>-1800</v>
      </c>
      <c r="BK41" s="17"/>
      <c r="BL41" s="18">
        <v>21945</v>
      </c>
      <c r="BM41" s="18"/>
      <c r="BN41" s="41">
        <f t="shared" si="45"/>
        <v>21945</v>
      </c>
      <c r="BO41" s="17"/>
      <c r="BP41" s="18"/>
      <c r="BQ41" s="31">
        <v>21945</v>
      </c>
      <c r="BR41" s="41">
        <f t="shared" si="46"/>
        <v>0</v>
      </c>
      <c r="BS41" s="17">
        <f t="shared" si="63"/>
        <v>1800</v>
      </c>
      <c r="BT41" s="18">
        <f t="shared" si="63"/>
        <v>21945</v>
      </c>
      <c r="BU41" s="18">
        <f t="shared" si="63"/>
        <v>21945</v>
      </c>
      <c r="BV41" s="20">
        <f t="shared" si="47"/>
        <v>20145</v>
      </c>
      <c r="BW41" s="17">
        <f t="shared" si="92"/>
        <v>6300</v>
      </c>
      <c r="BX41" s="17">
        <f t="shared" si="92"/>
        <v>21945</v>
      </c>
      <c r="BY41" s="18">
        <f t="shared" si="92"/>
        <v>21945</v>
      </c>
      <c r="BZ41" s="20">
        <f t="shared" si="48"/>
        <v>15645</v>
      </c>
      <c r="CA41" s="17">
        <f t="shared" ref="CA41:CC47" si="105">BW41+AI41</f>
        <v>10800</v>
      </c>
      <c r="CB41" s="18">
        <f t="shared" si="105"/>
        <v>21945</v>
      </c>
      <c r="CC41" s="18">
        <f t="shared" si="105"/>
        <v>21945</v>
      </c>
      <c r="CD41" s="20">
        <f>CB41-CA41</f>
        <v>11145</v>
      </c>
      <c r="CH41" s="3"/>
      <c r="CJ41" s="91">
        <f t="shared" ref="CJ41:CM42" si="106">BG41+BK41+BO41</f>
        <v>1800</v>
      </c>
      <c r="CK41" s="91">
        <f t="shared" si="106"/>
        <v>21945</v>
      </c>
      <c r="CL41" s="91">
        <f t="shared" si="106"/>
        <v>21945</v>
      </c>
      <c r="CM41" s="91">
        <f t="shared" si="106"/>
        <v>20145</v>
      </c>
      <c r="CN41" s="91">
        <f t="shared" si="86"/>
        <v>10800</v>
      </c>
      <c r="CO41" s="91">
        <f t="shared" si="86"/>
        <v>21945</v>
      </c>
      <c r="CP41" s="91">
        <f t="shared" si="86"/>
        <v>21945</v>
      </c>
      <c r="CQ41" s="91">
        <f t="shared" si="86"/>
        <v>11145</v>
      </c>
    </row>
    <row r="42" spans="1:95" ht="21.4" customHeight="1" x14ac:dyDescent="0.3">
      <c r="A42" s="9">
        <v>6.2</v>
      </c>
      <c r="B42" s="123" t="s">
        <v>54</v>
      </c>
      <c r="C42" s="174">
        <v>10000</v>
      </c>
      <c r="D42" s="18">
        <v>5807.5</v>
      </c>
      <c r="E42" s="43">
        <v>5807.5</v>
      </c>
      <c r="F42" s="170">
        <f t="shared" si="78"/>
        <v>-4192.5</v>
      </c>
      <c r="G42" s="83">
        <v>10000</v>
      </c>
      <c r="H42" s="120">
        <v>9350</v>
      </c>
      <c r="I42" s="18">
        <f>9350</f>
        <v>9350</v>
      </c>
      <c r="J42" s="19">
        <f t="shared" si="79"/>
        <v>-650</v>
      </c>
      <c r="K42" s="17">
        <v>10000</v>
      </c>
      <c r="L42" s="18">
        <f>23450+14250</f>
        <v>37700</v>
      </c>
      <c r="M42" s="43">
        <f>23450+14250</f>
        <v>37700</v>
      </c>
      <c r="N42" s="19">
        <f t="shared" si="80"/>
        <v>27700</v>
      </c>
      <c r="O42" s="17">
        <f t="shared" si="96"/>
        <v>30000</v>
      </c>
      <c r="P42" s="43">
        <f t="shared" si="87"/>
        <v>52857.5</v>
      </c>
      <c r="Q42" s="43">
        <f t="shared" si="87"/>
        <v>52857.5</v>
      </c>
      <c r="R42" s="19">
        <f t="shared" si="88"/>
        <v>22857.5</v>
      </c>
      <c r="S42" s="17">
        <v>10000</v>
      </c>
      <c r="T42" s="18"/>
      <c r="U42" s="18"/>
      <c r="V42" s="19">
        <f t="shared" si="83"/>
        <v>-10000</v>
      </c>
      <c r="W42" s="17">
        <v>10000</v>
      </c>
      <c r="X42" s="120">
        <v>16500</v>
      </c>
      <c r="Y42" s="19">
        <v>16500</v>
      </c>
      <c r="Z42" s="18">
        <f t="shared" si="37"/>
        <v>6500</v>
      </c>
      <c r="AA42" s="83">
        <v>10000</v>
      </c>
      <c r="AB42" s="18">
        <v>16500</v>
      </c>
      <c r="AC42" s="43">
        <v>16500</v>
      </c>
      <c r="AD42" s="19">
        <f t="shared" si="30"/>
        <v>6500</v>
      </c>
      <c r="AE42" s="17">
        <f t="shared" si="102"/>
        <v>30000</v>
      </c>
      <c r="AF42" s="18">
        <f t="shared" si="102"/>
        <v>33000</v>
      </c>
      <c r="AG42" s="18">
        <f t="shared" si="102"/>
        <v>33000</v>
      </c>
      <c r="AH42" s="19">
        <f t="shared" si="38"/>
        <v>3000</v>
      </c>
      <c r="AI42" s="17">
        <f t="shared" si="103"/>
        <v>60000</v>
      </c>
      <c r="AJ42" s="18">
        <f t="shared" si="103"/>
        <v>85857.5</v>
      </c>
      <c r="AK42" s="18">
        <f t="shared" si="103"/>
        <v>85857.5</v>
      </c>
      <c r="AL42" s="19">
        <f t="shared" si="99"/>
        <v>25857.5</v>
      </c>
      <c r="AM42" s="17">
        <v>10000</v>
      </c>
      <c r="AN42" s="18">
        <v>11034</v>
      </c>
      <c r="AO42" s="43">
        <v>11034</v>
      </c>
      <c r="AP42" s="20">
        <f t="shared" si="73"/>
        <v>1034</v>
      </c>
      <c r="AQ42" s="17">
        <v>10000</v>
      </c>
      <c r="AR42" s="18">
        <v>6037.5</v>
      </c>
      <c r="AS42" s="43">
        <v>6037.5</v>
      </c>
      <c r="AT42" s="20">
        <f t="shared" si="74"/>
        <v>-3962.5</v>
      </c>
      <c r="AU42" s="17">
        <v>10000</v>
      </c>
      <c r="AV42" s="18"/>
      <c r="AW42" s="43"/>
      <c r="AX42" s="20">
        <f t="shared" si="97"/>
        <v>-10000</v>
      </c>
      <c r="AY42" s="17">
        <f t="shared" si="104"/>
        <v>30000</v>
      </c>
      <c r="AZ42" s="18">
        <f t="shared" si="104"/>
        <v>17071.5</v>
      </c>
      <c r="BA42" s="18">
        <f t="shared" si="104"/>
        <v>17071.5</v>
      </c>
      <c r="BB42" s="19">
        <f t="shared" si="100"/>
        <v>-12928.5</v>
      </c>
      <c r="BC42" s="194">
        <f t="shared" si="91"/>
        <v>90000</v>
      </c>
      <c r="BD42" s="124">
        <f t="shared" si="91"/>
        <v>102929</v>
      </c>
      <c r="BE42" s="84">
        <f t="shared" ref="BE42:BE51" si="107">Q42+AG42+BA42</f>
        <v>102929</v>
      </c>
      <c r="BF42" s="170">
        <f t="shared" si="44"/>
        <v>12929</v>
      </c>
      <c r="BG42" s="83">
        <v>10000</v>
      </c>
      <c r="BH42" s="122"/>
      <c r="BI42" s="18"/>
      <c r="BJ42" s="41">
        <f t="shared" si="31"/>
        <v>-10000</v>
      </c>
      <c r="BK42" s="17">
        <v>10000</v>
      </c>
      <c r="BL42" s="18">
        <v>52561</v>
      </c>
      <c r="BM42" s="18">
        <v>52561</v>
      </c>
      <c r="BN42" s="41">
        <f t="shared" si="45"/>
        <v>42561</v>
      </c>
      <c r="BO42" s="17">
        <v>10000</v>
      </c>
      <c r="BP42" s="18"/>
      <c r="BQ42" s="31"/>
      <c r="BR42" s="27">
        <f t="shared" si="46"/>
        <v>-10000</v>
      </c>
      <c r="BS42" s="17">
        <f t="shared" si="63"/>
        <v>30000</v>
      </c>
      <c r="BT42" s="18">
        <f t="shared" si="63"/>
        <v>52561</v>
      </c>
      <c r="BU42" s="18">
        <f t="shared" si="63"/>
        <v>52561</v>
      </c>
      <c r="BV42" s="20">
        <f t="shared" si="47"/>
        <v>22561</v>
      </c>
      <c r="BW42" s="17">
        <f t="shared" si="92"/>
        <v>60000</v>
      </c>
      <c r="BX42" s="18">
        <f t="shared" si="92"/>
        <v>69632.5</v>
      </c>
      <c r="BY42" s="18">
        <f t="shared" si="92"/>
        <v>69632.5</v>
      </c>
      <c r="BZ42" s="20">
        <f t="shared" si="48"/>
        <v>9632.5</v>
      </c>
      <c r="CA42" s="25">
        <f t="shared" si="105"/>
        <v>120000</v>
      </c>
      <c r="CB42" s="25">
        <f t="shared" ref="CB42" si="108">BX42+AJ42</f>
        <v>155490</v>
      </c>
      <c r="CC42" s="25">
        <f t="shared" ref="CC42" si="109">BY42+AK42</f>
        <v>155490</v>
      </c>
      <c r="CD42" s="32">
        <f>CB42-CA42</f>
        <v>35490</v>
      </c>
      <c r="CH42" s="3"/>
      <c r="CJ42" s="91">
        <f t="shared" si="106"/>
        <v>30000</v>
      </c>
      <c r="CK42" s="91">
        <f t="shared" si="106"/>
        <v>52561</v>
      </c>
      <c r="CL42" s="91">
        <f t="shared" si="106"/>
        <v>52561</v>
      </c>
      <c r="CM42" s="91">
        <f t="shared" si="106"/>
        <v>22561</v>
      </c>
      <c r="CN42" s="91">
        <f t="shared" si="86"/>
        <v>120000</v>
      </c>
      <c r="CO42" s="91">
        <f t="shared" si="86"/>
        <v>155490</v>
      </c>
      <c r="CP42" s="91">
        <f t="shared" si="86"/>
        <v>155490</v>
      </c>
      <c r="CQ42" s="91">
        <f t="shared" si="86"/>
        <v>35490</v>
      </c>
    </row>
    <row r="43" spans="1:95" ht="16.5" hidden="1" x14ac:dyDescent="0.3">
      <c r="A43" s="9"/>
      <c r="B43" s="28" t="s">
        <v>55</v>
      </c>
      <c r="C43" s="174"/>
      <c r="D43" s="125"/>
      <c r="E43" s="43"/>
      <c r="F43" s="170">
        <f t="shared" si="78"/>
        <v>0</v>
      </c>
      <c r="G43" s="83"/>
      <c r="H43" s="120"/>
      <c r="I43" s="18"/>
      <c r="J43" s="19">
        <f t="shared" si="79"/>
        <v>0</v>
      </c>
      <c r="K43" s="17"/>
      <c r="L43" s="120"/>
      <c r="M43" s="43"/>
      <c r="N43" s="19">
        <f t="shared" si="80"/>
        <v>0</v>
      </c>
      <c r="O43" s="25">
        <f t="shared" si="96"/>
        <v>0</v>
      </c>
      <c r="P43" s="95">
        <f t="shared" si="87"/>
        <v>0</v>
      </c>
      <c r="Q43" s="95">
        <f t="shared" si="87"/>
        <v>0</v>
      </c>
      <c r="R43" s="19">
        <f t="shared" si="88"/>
        <v>0</v>
      </c>
      <c r="S43" s="17"/>
      <c r="T43" s="120"/>
      <c r="U43" s="18"/>
      <c r="V43" s="19">
        <f t="shared" si="83"/>
        <v>0</v>
      </c>
      <c r="W43" s="17"/>
      <c r="X43" s="120"/>
      <c r="Y43" s="19"/>
      <c r="Z43" s="18">
        <f t="shared" si="37"/>
        <v>0</v>
      </c>
      <c r="AA43" s="83"/>
      <c r="AB43" s="120"/>
      <c r="AC43" s="43"/>
      <c r="AD43" s="19">
        <f t="shared" si="30"/>
        <v>0</v>
      </c>
      <c r="AE43" s="17">
        <f t="shared" si="102"/>
        <v>0</v>
      </c>
      <c r="AF43" s="18">
        <f t="shared" si="102"/>
        <v>0</v>
      </c>
      <c r="AG43" s="18">
        <f t="shared" si="102"/>
        <v>0</v>
      </c>
      <c r="AH43" s="19">
        <f t="shared" si="38"/>
        <v>0</v>
      </c>
      <c r="AI43" s="17">
        <f t="shared" si="103"/>
        <v>0</v>
      </c>
      <c r="AJ43" s="18">
        <f t="shared" si="103"/>
        <v>0</v>
      </c>
      <c r="AK43" s="18">
        <f t="shared" si="103"/>
        <v>0</v>
      </c>
      <c r="AL43" s="19">
        <f t="shared" si="99"/>
        <v>0</v>
      </c>
      <c r="AM43" s="17"/>
      <c r="AN43" s="120"/>
      <c r="AO43" s="43"/>
      <c r="AP43" s="20">
        <f t="shared" si="73"/>
        <v>0</v>
      </c>
      <c r="AQ43" s="17"/>
      <c r="AR43" s="120"/>
      <c r="AS43" s="43"/>
      <c r="AT43" s="20">
        <f t="shared" si="74"/>
        <v>0</v>
      </c>
      <c r="AU43" s="17"/>
      <c r="AV43" s="120"/>
      <c r="AW43" s="43"/>
      <c r="AX43" s="20">
        <f t="shared" si="97"/>
        <v>0</v>
      </c>
      <c r="AY43" s="17">
        <f t="shared" si="104"/>
        <v>0</v>
      </c>
      <c r="AZ43" s="18">
        <f t="shared" si="104"/>
        <v>0</v>
      </c>
      <c r="BA43" s="18">
        <f t="shared" si="104"/>
        <v>0</v>
      </c>
      <c r="BB43" s="19">
        <f t="shared" si="100"/>
        <v>0</v>
      </c>
      <c r="BC43" s="190">
        <f t="shared" si="91"/>
        <v>0</v>
      </c>
      <c r="BD43" s="84">
        <f t="shared" si="91"/>
        <v>0</v>
      </c>
      <c r="BE43" s="84">
        <f t="shared" si="107"/>
        <v>0</v>
      </c>
      <c r="BF43" s="170">
        <f t="shared" si="44"/>
        <v>0</v>
      </c>
      <c r="BG43" s="83"/>
      <c r="BH43" s="122"/>
      <c r="BI43" s="18"/>
      <c r="BJ43" s="41">
        <f t="shared" si="31"/>
        <v>0</v>
      </c>
      <c r="BK43" s="17"/>
      <c r="BL43" s="120"/>
      <c r="BM43" s="18"/>
      <c r="BN43" s="41">
        <f t="shared" si="45"/>
        <v>0</v>
      </c>
      <c r="BO43" s="17"/>
      <c r="BP43" s="120"/>
      <c r="BQ43" s="18"/>
      <c r="BR43" s="27">
        <f t="shared" si="46"/>
        <v>0</v>
      </c>
      <c r="BS43" s="17">
        <f t="shared" si="63"/>
        <v>0</v>
      </c>
      <c r="BT43" s="18">
        <f t="shared" si="63"/>
        <v>0</v>
      </c>
      <c r="BU43" s="18">
        <f t="shared" si="63"/>
        <v>0</v>
      </c>
      <c r="BV43" s="20">
        <f t="shared" si="47"/>
        <v>0</v>
      </c>
      <c r="BW43" s="17">
        <f t="shared" si="92"/>
        <v>0</v>
      </c>
      <c r="BX43" s="18">
        <f t="shared" si="92"/>
        <v>0</v>
      </c>
      <c r="BY43" s="18">
        <f t="shared" si="92"/>
        <v>0</v>
      </c>
      <c r="BZ43" s="20">
        <f t="shared" si="48"/>
        <v>0</v>
      </c>
      <c r="CA43" s="17">
        <f t="shared" si="105"/>
        <v>0</v>
      </c>
      <c r="CB43" s="18">
        <f t="shared" si="105"/>
        <v>0</v>
      </c>
      <c r="CC43" s="18">
        <f t="shared" si="105"/>
        <v>0</v>
      </c>
      <c r="CD43" s="20">
        <f t="shared" ref="CD43:CD51" si="110">CB43-CA43</f>
        <v>0</v>
      </c>
      <c r="CH43" s="3"/>
      <c r="CJ43" s="91">
        <f>BG43+BK43+BO43</f>
        <v>0</v>
      </c>
      <c r="CK43" s="91"/>
      <c r="CL43" s="91"/>
      <c r="CM43" s="91"/>
      <c r="CN43" s="91">
        <f t="shared" si="86"/>
        <v>0</v>
      </c>
      <c r="CO43" s="91">
        <f t="shared" si="86"/>
        <v>0</v>
      </c>
      <c r="CP43" s="91">
        <f t="shared" si="86"/>
        <v>0</v>
      </c>
      <c r="CQ43" s="91">
        <f t="shared" si="86"/>
        <v>0</v>
      </c>
    </row>
    <row r="44" spans="1:95" ht="16.5" hidden="1" x14ac:dyDescent="0.3">
      <c r="A44" s="9"/>
      <c r="B44" s="28" t="s">
        <v>56</v>
      </c>
      <c r="C44" s="174"/>
      <c r="D44" s="120"/>
      <c r="E44" s="43"/>
      <c r="F44" s="170">
        <f t="shared" si="78"/>
        <v>0</v>
      </c>
      <c r="G44" s="83"/>
      <c r="H44" s="120"/>
      <c r="I44" s="18"/>
      <c r="J44" s="19">
        <f t="shared" si="79"/>
        <v>0</v>
      </c>
      <c r="K44" s="17"/>
      <c r="L44" s="120"/>
      <c r="M44" s="43"/>
      <c r="N44" s="19">
        <f t="shared" si="80"/>
        <v>0</v>
      </c>
      <c r="O44" s="25">
        <f t="shared" si="96"/>
        <v>0</v>
      </c>
      <c r="P44" s="95">
        <f t="shared" si="87"/>
        <v>0</v>
      </c>
      <c r="Q44" s="95">
        <f t="shared" si="87"/>
        <v>0</v>
      </c>
      <c r="R44" s="19">
        <f t="shared" si="88"/>
        <v>0</v>
      </c>
      <c r="S44" s="17"/>
      <c r="T44" s="120"/>
      <c r="U44" s="18"/>
      <c r="V44" s="19">
        <f t="shared" si="83"/>
        <v>0</v>
      </c>
      <c r="W44" s="17"/>
      <c r="X44" s="120"/>
      <c r="Y44" s="19"/>
      <c r="Z44" s="18">
        <f t="shared" si="37"/>
        <v>0</v>
      </c>
      <c r="AA44" s="83"/>
      <c r="AB44" s="120"/>
      <c r="AC44" s="43"/>
      <c r="AD44" s="19">
        <f t="shared" si="30"/>
        <v>0</v>
      </c>
      <c r="AE44" s="17">
        <f t="shared" si="102"/>
        <v>0</v>
      </c>
      <c r="AF44" s="18">
        <f t="shared" si="102"/>
        <v>0</v>
      </c>
      <c r="AG44" s="18">
        <f t="shared" si="102"/>
        <v>0</v>
      </c>
      <c r="AH44" s="19">
        <f t="shared" si="38"/>
        <v>0</v>
      </c>
      <c r="AI44" s="17">
        <f t="shared" si="103"/>
        <v>0</v>
      </c>
      <c r="AJ44" s="18">
        <v>0</v>
      </c>
      <c r="AK44" s="18">
        <v>0</v>
      </c>
      <c r="AL44" s="19">
        <f t="shared" si="99"/>
        <v>0</v>
      </c>
      <c r="AM44" s="17"/>
      <c r="AN44" s="120"/>
      <c r="AO44" s="43"/>
      <c r="AP44" s="20">
        <f t="shared" si="73"/>
        <v>0</v>
      </c>
      <c r="AQ44" s="17"/>
      <c r="AR44" s="120"/>
      <c r="AS44" s="43"/>
      <c r="AT44" s="20">
        <f t="shared" si="74"/>
        <v>0</v>
      </c>
      <c r="AU44" s="17"/>
      <c r="AV44" s="120"/>
      <c r="AW44" s="43"/>
      <c r="AX44" s="20">
        <f t="shared" si="97"/>
        <v>0</v>
      </c>
      <c r="AY44" s="17">
        <f t="shared" si="104"/>
        <v>0</v>
      </c>
      <c r="AZ44" s="18">
        <f t="shared" si="104"/>
        <v>0</v>
      </c>
      <c r="BA44" s="18">
        <f t="shared" si="104"/>
        <v>0</v>
      </c>
      <c r="BB44" s="19">
        <f t="shared" si="100"/>
        <v>0</v>
      </c>
      <c r="BC44" s="190">
        <f t="shared" si="91"/>
        <v>0</v>
      </c>
      <c r="BD44" s="84">
        <f t="shared" si="91"/>
        <v>0</v>
      </c>
      <c r="BE44" s="84">
        <f t="shared" si="107"/>
        <v>0</v>
      </c>
      <c r="BF44" s="170">
        <f t="shared" si="44"/>
        <v>0</v>
      </c>
      <c r="BG44" s="83"/>
      <c r="BH44" s="122"/>
      <c r="BI44" s="18"/>
      <c r="BJ44" s="41">
        <f t="shared" si="31"/>
        <v>0</v>
      </c>
      <c r="BK44" s="17"/>
      <c r="BL44" s="120"/>
      <c r="BM44" s="18"/>
      <c r="BN44" s="41">
        <f t="shared" si="45"/>
        <v>0</v>
      </c>
      <c r="BO44" s="17"/>
      <c r="BP44" s="120"/>
      <c r="BQ44" s="18"/>
      <c r="BR44" s="27">
        <f t="shared" si="46"/>
        <v>0</v>
      </c>
      <c r="BS44" s="17">
        <f t="shared" ref="BS44:BU51" si="111">BG44+BK44+BO44</f>
        <v>0</v>
      </c>
      <c r="BT44" s="18">
        <f t="shared" si="111"/>
        <v>0</v>
      </c>
      <c r="BU44" s="18">
        <f t="shared" si="111"/>
        <v>0</v>
      </c>
      <c r="BV44" s="20">
        <f t="shared" si="47"/>
        <v>0</v>
      </c>
      <c r="BW44" s="17">
        <f t="shared" si="92"/>
        <v>0</v>
      </c>
      <c r="BX44" s="18">
        <f t="shared" si="92"/>
        <v>0</v>
      </c>
      <c r="BY44" s="18">
        <f t="shared" si="92"/>
        <v>0</v>
      </c>
      <c r="BZ44" s="20">
        <f t="shared" si="48"/>
        <v>0</v>
      </c>
      <c r="CA44" s="17">
        <f t="shared" si="105"/>
        <v>0</v>
      </c>
      <c r="CB44" s="18">
        <f t="shared" si="105"/>
        <v>0</v>
      </c>
      <c r="CC44" s="18">
        <f t="shared" si="105"/>
        <v>0</v>
      </c>
      <c r="CD44" s="20">
        <f t="shared" si="110"/>
        <v>0</v>
      </c>
      <c r="CH44" s="3"/>
      <c r="CJ44" s="91">
        <f>BG44+BK44+BO44</f>
        <v>0</v>
      </c>
      <c r="CK44" s="91"/>
      <c r="CL44" s="91"/>
      <c r="CM44" s="91"/>
      <c r="CN44" s="91">
        <f t="shared" si="86"/>
        <v>0</v>
      </c>
      <c r="CO44" s="91">
        <f t="shared" si="86"/>
        <v>0</v>
      </c>
      <c r="CP44" s="91">
        <f t="shared" si="86"/>
        <v>0</v>
      </c>
      <c r="CQ44" s="91">
        <f t="shared" si="86"/>
        <v>0</v>
      </c>
    </row>
    <row r="45" spans="1:95" ht="25.5" hidden="1" x14ac:dyDescent="0.3">
      <c r="A45" s="9">
        <v>6.3</v>
      </c>
      <c r="B45" s="39" t="s">
        <v>57</v>
      </c>
      <c r="C45" s="174"/>
      <c r="D45" s="120"/>
      <c r="E45" s="95"/>
      <c r="F45" s="170">
        <f t="shared" si="78"/>
        <v>0</v>
      </c>
      <c r="G45" s="83"/>
      <c r="H45" s="120"/>
      <c r="I45" s="31"/>
      <c r="J45" s="19">
        <f t="shared" si="79"/>
        <v>0</v>
      </c>
      <c r="K45" s="17"/>
      <c r="L45" s="120"/>
      <c r="M45" s="95"/>
      <c r="N45" s="19">
        <f t="shared" si="80"/>
        <v>0</v>
      </c>
      <c r="O45" s="17">
        <f t="shared" si="96"/>
        <v>0</v>
      </c>
      <c r="P45" s="43">
        <f t="shared" si="87"/>
        <v>0</v>
      </c>
      <c r="Q45" s="43">
        <f t="shared" si="87"/>
        <v>0</v>
      </c>
      <c r="R45" s="19">
        <f t="shared" si="88"/>
        <v>0</v>
      </c>
      <c r="S45" s="17"/>
      <c r="T45" s="18"/>
      <c r="U45" s="18"/>
      <c r="V45" s="19">
        <f t="shared" si="83"/>
        <v>0</v>
      </c>
      <c r="W45" s="17"/>
      <c r="X45" s="120"/>
      <c r="Y45" s="30"/>
      <c r="Z45" s="18">
        <f t="shared" si="37"/>
        <v>0</v>
      </c>
      <c r="AA45" s="83"/>
      <c r="AB45" s="18"/>
      <c r="AC45" s="43"/>
      <c r="AD45" s="19">
        <f t="shared" si="30"/>
        <v>0</v>
      </c>
      <c r="AE45" s="17">
        <f t="shared" si="102"/>
        <v>0</v>
      </c>
      <c r="AF45" s="18">
        <f t="shared" si="102"/>
        <v>0</v>
      </c>
      <c r="AG45" s="18">
        <f t="shared" si="102"/>
        <v>0</v>
      </c>
      <c r="AH45" s="19">
        <f t="shared" si="38"/>
        <v>0</v>
      </c>
      <c r="AI45" s="17">
        <f t="shared" si="103"/>
        <v>0</v>
      </c>
      <c r="AJ45" s="18">
        <f t="shared" si="103"/>
        <v>0</v>
      </c>
      <c r="AK45" s="18">
        <f t="shared" si="103"/>
        <v>0</v>
      </c>
      <c r="AL45" s="19">
        <f t="shared" si="99"/>
        <v>0</v>
      </c>
      <c r="AM45" s="17"/>
      <c r="AN45" s="120"/>
      <c r="AO45" s="43"/>
      <c r="AP45" s="20">
        <f t="shared" si="73"/>
        <v>0</v>
      </c>
      <c r="AR45" s="18"/>
      <c r="AS45" s="43"/>
      <c r="AT45" s="20">
        <f>AR45-AQ46</f>
        <v>-261000</v>
      </c>
      <c r="AV45" s="120"/>
      <c r="AW45" s="43"/>
      <c r="AX45" s="20">
        <f>AV45-AU46</f>
        <v>-165000</v>
      </c>
      <c r="AY45" s="17">
        <f t="shared" si="104"/>
        <v>0</v>
      </c>
      <c r="AZ45" s="18">
        <f t="shared" si="104"/>
        <v>0</v>
      </c>
      <c r="BA45" s="18">
        <f t="shared" si="104"/>
        <v>0</v>
      </c>
      <c r="BB45" s="19">
        <f t="shared" si="100"/>
        <v>0</v>
      </c>
      <c r="BC45" s="190">
        <f t="shared" si="91"/>
        <v>0</v>
      </c>
      <c r="BD45" s="84">
        <f t="shared" si="91"/>
        <v>0</v>
      </c>
      <c r="BE45" s="84">
        <f t="shared" si="107"/>
        <v>0</v>
      </c>
      <c r="BF45" s="170">
        <f t="shared" si="44"/>
        <v>0</v>
      </c>
      <c r="BG45" s="83"/>
      <c r="BH45" s="122"/>
      <c r="BI45" s="18"/>
      <c r="BJ45" s="41">
        <f t="shared" si="31"/>
        <v>0</v>
      </c>
      <c r="BK45" s="17"/>
      <c r="BL45" s="120"/>
      <c r="BM45" s="18"/>
      <c r="BN45" s="41">
        <f t="shared" si="45"/>
        <v>0</v>
      </c>
      <c r="BO45" s="17"/>
      <c r="BP45" s="120"/>
      <c r="BQ45" s="31"/>
      <c r="BR45" s="41">
        <f t="shared" si="46"/>
        <v>0</v>
      </c>
      <c r="BS45" s="17">
        <f t="shared" si="111"/>
        <v>0</v>
      </c>
      <c r="BT45" s="18">
        <f t="shared" si="111"/>
        <v>0</v>
      </c>
      <c r="BU45" s="18">
        <f t="shared" si="111"/>
        <v>0</v>
      </c>
      <c r="BV45" s="20">
        <f t="shared" si="47"/>
        <v>0</v>
      </c>
      <c r="BW45" s="17">
        <f t="shared" si="92"/>
        <v>0</v>
      </c>
      <c r="BX45" s="18">
        <f t="shared" si="92"/>
        <v>0</v>
      </c>
      <c r="BY45" s="18">
        <f t="shared" si="92"/>
        <v>0</v>
      </c>
      <c r="BZ45" s="20">
        <f t="shared" si="48"/>
        <v>0</v>
      </c>
      <c r="CA45" s="17">
        <f t="shared" si="105"/>
        <v>0</v>
      </c>
      <c r="CB45" s="18">
        <f t="shared" si="105"/>
        <v>0</v>
      </c>
      <c r="CC45" s="18">
        <f t="shared" si="105"/>
        <v>0</v>
      </c>
      <c r="CD45" s="20">
        <f t="shared" si="110"/>
        <v>0</v>
      </c>
      <c r="CH45" s="3"/>
      <c r="CJ45" s="91">
        <f>BG45+BK45+BO45</f>
        <v>0</v>
      </c>
      <c r="CK45" s="91">
        <f t="shared" ref="CK45:CM46" si="112">BH45+BL45+BP45</f>
        <v>0</v>
      </c>
      <c r="CL45" s="91">
        <f t="shared" si="112"/>
        <v>0</v>
      </c>
      <c r="CM45" s="91">
        <f t="shared" si="112"/>
        <v>0</v>
      </c>
      <c r="CN45" s="91">
        <f t="shared" si="86"/>
        <v>0</v>
      </c>
      <c r="CO45" s="91">
        <f t="shared" si="86"/>
        <v>0</v>
      </c>
      <c r="CP45" s="91">
        <f t="shared" si="86"/>
        <v>0</v>
      </c>
      <c r="CQ45" s="91">
        <f t="shared" si="86"/>
        <v>0</v>
      </c>
    </row>
    <row r="46" spans="1:95" ht="25.15" customHeight="1" x14ac:dyDescent="0.3">
      <c r="A46" s="9">
        <v>6.4</v>
      </c>
      <c r="B46" s="123" t="s">
        <v>58</v>
      </c>
      <c r="C46" s="174">
        <v>225000</v>
      </c>
      <c r="D46" s="126"/>
      <c r="E46" s="95"/>
      <c r="F46" s="170">
        <f t="shared" si="78"/>
        <v>-225000</v>
      </c>
      <c r="G46" s="83">
        <v>235000</v>
      </c>
      <c r="H46" s="120">
        <f>75659+68044</f>
        <v>143703</v>
      </c>
      <c r="I46" s="43">
        <f>68044+25659</f>
        <v>93703</v>
      </c>
      <c r="J46" s="19">
        <f t="shared" si="79"/>
        <v>-91297</v>
      </c>
      <c r="K46" s="17">
        <v>215000</v>
      </c>
      <c r="L46" s="18">
        <f>43975+43975+43975+43975</f>
        <v>175900</v>
      </c>
      <c r="M46" s="43">
        <f>87950+55000+136088</f>
        <v>279038</v>
      </c>
      <c r="N46" s="19">
        <f t="shared" si="80"/>
        <v>-39100</v>
      </c>
      <c r="O46" s="17">
        <f t="shared" si="96"/>
        <v>675000</v>
      </c>
      <c r="P46" s="43">
        <f t="shared" si="87"/>
        <v>319603</v>
      </c>
      <c r="Q46" s="43">
        <f t="shared" si="87"/>
        <v>372741</v>
      </c>
      <c r="R46" s="19">
        <f t="shared" si="88"/>
        <v>-355397</v>
      </c>
      <c r="S46" s="17">
        <v>145000</v>
      </c>
      <c r="T46" s="18"/>
      <c r="U46" s="18"/>
      <c r="V46" s="19">
        <f t="shared" si="83"/>
        <v>-145000</v>
      </c>
      <c r="W46" s="17">
        <v>455000</v>
      </c>
      <c r="X46" s="31"/>
      <c r="Y46" s="30">
        <v>35000</v>
      </c>
      <c r="Z46" s="31">
        <f t="shared" si="37"/>
        <v>-455000</v>
      </c>
      <c r="AA46" s="83">
        <v>225000</v>
      </c>
      <c r="AB46" s="120">
        <v>151318</v>
      </c>
      <c r="AC46" s="43"/>
      <c r="AD46" s="19">
        <f t="shared" si="30"/>
        <v>-73682</v>
      </c>
      <c r="AE46" s="17">
        <f t="shared" si="102"/>
        <v>825000</v>
      </c>
      <c r="AF46" s="18">
        <f t="shared" si="102"/>
        <v>151318</v>
      </c>
      <c r="AG46" s="18">
        <f t="shared" si="102"/>
        <v>35000</v>
      </c>
      <c r="AH46" s="19">
        <f t="shared" si="38"/>
        <v>-673682</v>
      </c>
      <c r="AI46" s="17">
        <f t="shared" si="103"/>
        <v>1500000</v>
      </c>
      <c r="AJ46" s="18">
        <f t="shared" si="103"/>
        <v>470921</v>
      </c>
      <c r="AK46" s="18">
        <f t="shared" si="103"/>
        <v>407741</v>
      </c>
      <c r="AL46" s="19">
        <f t="shared" si="99"/>
        <v>-1029079</v>
      </c>
      <c r="AM46" s="17">
        <v>80000</v>
      </c>
      <c r="AN46" s="18"/>
      <c r="AO46" s="43">
        <f>50000+50000+106532</f>
        <v>206532</v>
      </c>
      <c r="AP46" s="20">
        <f t="shared" si="73"/>
        <v>-80000</v>
      </c>
      <c r="AQ46" s="17">
        <v>261000</v>
      </c>
      <c r="AR46" s="18">
        <f>43975+172064+75659-71105</f>
        <v>220593</v>
      </c>
      <c r="AS46" s="43">
        <v>122064</v>
      </c>
      <c r="AT46" s="20">
        <f>AR46-AQ47</f>
        <v>220593</v>
      </c>
      <c r="AU46" s="17">
        <v>165000</v>
      </c>
      <c r="AV46" s="120">
        <f>68044+12918+68044+43975</f>
        <v>192981</v>
      </c>
      <c r="AW46" s="43">
        <f>12918+40000</f>
        <v>52918</v>
      </c>
      <c r="AX46" s="20">
        <f>AV46-AU47</f>
        <v>192981</v>
      </c>
      <c r="AY46" s="17">
        <f t="shared" si="104"/>
        <v>506000</v>
      </c>
      <c r="AZ46" s="18">
        <f t="shared" si="104"/>
        <v>413574</v>
      </c>
      <c r="BA46" s="18">
        <f t="shared" si="104"/>
        <v>381514</v>
      </c>
      <c r="BB46" s="19">
        <f t="shared" si="100"/>
        <v>-92426</v>
      </c>
      <c r="BC46" s="190">
        <f t="shared" si="91"/>
        <v>2006000</v>
      </c>
      <c r="BD46" s="84">
        <f t="shared" si="91"/>
        <v>884495</v>
      </c>
      <c r="BE46" s="84">
        <f t="shared" si="107"/>
        <v>789255</v>
      </c>
      <c r="BF46" s="170">
        <f t="shared" si="44"/>
        <v>-1121505</v>
      </c>
      <c r="BG46" s="83">
        <v>195000</v>
      </c>
      <c r="BH46" s="122"/>
      <c r="BI46" s="18"/>
      <c r="BJ46" s="41">
        <f t="shared" si="31"/>
        <v>-195000</v>
      </c>
      <c r="BK46" s="17">
        <v>349000</v>
      </c>
      <c r="BL46" s="120"/>
      <c r="BM46" s="18">
        <v>160000</v>
      </c>
      <c r="BN46" s="41">
        <f t="shared" si="45"/>
        <v>-349000</v>
      </c>
      <c r="BO46" s="17">
        <v>150000</v>
      </c>
      <c r="BP46" s="120">
        <f>43975+43975</f>
        <v>87950</v>
      </c>
      <c r="BQ46" s="18">
        <v>23190</v>
      </c>
      <c r="BR46" s="27">
        <f t="shared" si="46"/>
        <v>-62050</v>
      </c>
      <c r="BS46" s="17">
        <f t="shared" si="111"/>
        <v>694000</v>
      </c>
      <c r="BT46" s="18">
        <f t="shared" si="111"/>
        <v>87950</v>
      </c>
      <c r="BU46" s="18">
        <f t="shared" si="111"/>
        <v>183190</v>
      </c>
      <c r="BV46" s="20">
        <f t="shared" si="47"/>
        <v>-606050</v>
      </c>
      <c r="BW46" s="17">
        <f t="shared" si="92"/>
        <v>1200000</v>
      </c>
      <c r="BX46" s="18">
        <f t="shared" si="92"/>
        <v>501524</v>
      </c>
      <c r="BY46" s="18">
        <f t="shared" si="92"/>
        <v>564704</v>
      </c>
      <c r="BZ46" s="20">
        <f t="shared" si="48"/>
        <v>-698476</v>
      </c>
      <c r="CA46" s="17">
        <f t="shared" si="105"/>
        <v>2700000</v>
      </c>
      <c r="CB46" s="17">
        <f t="shared" ref="CB46" si="113">BX46+AJ46</f>
        <v>972445</v>
      </c>
      <c r="CC46" s="17">
        <f t="shared" ref="CC46" si="114">BY46+AK46</f>
        <v>972445</v>
      </c>
      <c r="CD46" s="20">
        <f t="shared" si="110"/>
        <v>-1727555</v>
      </c>
      <c r="CH46" s="3"/>
      <c r="CJ46" s="91">
        <f>BG46+BK46+BO46</f>
        <v>694000</v>
      </c>
      <c r="CK46" s="91">
        <f t="shared" si="112"/>
        <v>87950</v>
      </c>
      <c r="CL46" s="91">
        <f t="shared" si="112"/>
        <v>183190</v>
      </c>
      <c r="CM46" s="91">
        <f t="shared" si="112"/>
        <v>-606050</v>
      </c>
      <c r="CN46" s="91">
        <f t="shared" si="86"/>
        <v>2700000</v>
      </c>
      <c r="CO46" s="91">
        <f t="shared" si="86"/>
        <v>972445</v>
      </c>
      <c r="CP46" s="91">
        <f t="shared" si="86"/>
        <v>972445</v>
      </c>
      <c r="CQ46" s="91">
        <f t="shared" si="86"/>
        <v>-1727555</v>
      </c>
    </row>
    <row r="47" spans="1:95" ht="16.5" hidden="1" customHeight="1" x14ac:dyDescent="0.3">
      <c r="A47" s="9"/>
      <c r="B47" s="28" t="s">
        <v>55</v>
      </c>
      <c r="C47" s="168"/>
      <c r="D47" s="125"/>
      <c r="E47" s="95"/>
      <c r="F47" s="170">
        <f t="shared" si="78"/>
        <v>0</v>
      </c>
      <c r="G47" s="83"/>
      <c r="H47" s="120"/>
      <c r="I47" s="31"/>
      <c r="J47" s="19">
        <f t="shared" si="79"/>
        <v>0</v>
      </c>
      <c r="K47" s="17"/>
      <c r="L47" s="120"/>
      <c r="M47" s="31"/>
      <c r="N47" s="19">
        <f t="shared" si="80"/>
        <v>0</v>
      </c>
      <c r="O47" s="25">
        <f t="shared" si="96"/>
        <v>0</v>
      </c>
      <c r="P47" s="95">
        <f t="shared" si="87"/>
        <v>0</v>
      </c>
      <c r="Q47" s="95">
        <f t="shared" si="87"/>
        <v>0</v>
      </c>
      <c r="R47" s="19">
        <f t="shared" si="88"/>
        <v>0</v>
      </c>
      <c r="S47" s="17"/>
      <c r="T47" s="120"/>
      <c r="U47" s="31"/>
      <c r="V47" s="19">
        <f t="shared" si="83"/>
        <v>0</v>
      </c>
      <c r="W47" s="17"/>
      <c r="X47" s="120"/>
      <c r="Y47" s="30"/>
      <c r="Z47" s="18">
        <f t="shared" si="37"/>
        <v>0</v>
      </c>
      <c r="AA47" s="83"/>
      <c r="AB47" s="120"/>
      <c r="AC47" s="95"/>
      <c r="AD47" s="19">
        <f t="shared" si="30"/>
        <v>0</v>
      </c>
      <c r="AE47" s="17">
        <f t="shared" si="102"/>
        <v>0</v>
      </c>
      <c r="AF47" s="18">
        <f t="shared" si="102"/>
        <v>0</v>
      </c>
      <c r="AG47" s="18">
        <f t="shared" si="102"/>
        <v>0</v>
      </c>
      <c r="AH47" s="19">
        <f t="shared" si="38"/>
        <v>0</v>
      </c>
      <c r="AI47" s="17">
        <f t="shared" si="103"/>
        <v>0</v>
      </c>
      <c r="AJ47" s="18">
        <f t="shared" si="103"/>
        <v>0</v>
      </c>
      <c r="AK47" s="18">
        <f t="shared" si="103"/>
        <v>0</v>
      </c>
      <c r="AL47" s="19">
        <f t="shared" si="99"/>
        <v>0</v>
      </c>
      <c r="AM47" s="17"/>
      <c r="AN47" s="120"/>
      <c r="AO47" s="95"/>
      <c r="AP47" s="20">
        <f t="shared" si="73"/>
        <v>0</v>
      </c>
      <c r="AQ47" s="17"/>
      <c r="AR47" s="120"/>
      <c r="AS47" s="95"/>
      <c r="AT47" s="20">
        <f t="shared" si="74"/>
        <v>0</v>
      </c>
      <c r="AU47" s="17"/>
      <c r="AV47" s="120"/>
      <c r="AW47" s="95"/>
      <c r="AX47" s="20">
        <f t="shared" si="97"/>
        <v>0</v>
      </c>
      <c r="AY47" s="17">
        <f t="shared" si="104"/>
        <v>0</v>
      </c>
      <c r="AZ47" s="18">
        <f t="shared" si="104"/>
        <v>0</v>
      </c>
      <c r="BA47" s="18">
        <f t="shared" si="104"/>
        <v>0</v>
      </c>
      <c r="BB47" s="19">
        <f t="shared" si="100"/>
        <v>0</v>
      </c>
      <c r="BC47" s="190">
        <f t="shared" si="91"/>
        <v>0</v>
      </c>
      <c r="BD47" s="84">
        <f t="shared" si="91"/>
        <v>0</v>
      </c>
      <c r="BE47" s="84">
        <f t="shared" si="107"/>
        <v>0</v>
      </c>
      <c r="BF47" s="170">
        <f t="shared" si="44"/>
        <v>0</v>
      </c>
      <c r="BG47" s="83"/>
      <c r="BH47" s="120"/>
      <c r="BI47" s="31"/>
      <c r="BJ47" s="41">
        <f t="shared" si="31"/>
        <v>0</v>
      </c>
      <c r="BK47" s="17"/>
      <c r="BL47" s="120"/>
      <c r="BM47" s="31"/>
      <c r="BN47" s="41">
        <f t="shared" si="45"/>
        <v>0</v>
      </c>
      <c r="BO47" s="17"/>
      <c r="BP47" s="120"/>
      <c r="BQ47" s="31"/>
      <c r="BR47" s="41">
        <f t="shared" si="46"/>
        <v>0</v>
      </c>
      <c r="BS47" s="17">
        <f t="shared" si="111"/>
        <v>0</v>
      </c>
      <c r="BT47" s="18">
        <f t="shared" si="111"/>
        <v>0</v>
      </c>
      <c r="BU47" s="18">
        <f t="shared" si="111"/>
        <v>0</v>
      </c>
      <c r="BV47" s="20">
        <f t="shared" si="47"/>
        <v>0</v>
      </c>
      <c r="BW47" s="17">
        <f t="shared" si="92"/>
        <v>0</v>
      </c>
      <c r="BX47" s="18">
        <f t="shared" si="92"/>
        <v>0</v>
      </c>
      <c r="BY47" s="18">
        <f t="shared" si="92"/>
        <v>0</v>
      </c>
      <c r="BZ47" s="20">
        <f t="shared" si="48"/>
        <v>0</v>
      </c>
      <c r="CA47" s="17">
        <f t="shared" si="105"/>
        <v>0</v>
      </c>
      <c r="CB47" s="18">
        <f t="shared" si="105"/>
        <v>0</v>
      </c>
      <c r="CC47" s="18">
        <f t="shared" si="105"/>
        <v>0</v>
      </c>
      <c r="CD47" s="20">
        <f t="shared" si="110"/>
        <v>0</v>
      </c>
      <c r="CH47" s="3"/>
      <c r="CJ47" s="91"/>
      <c r="CK47" s="91"/>
      <c r="CL47" s="91"/>
      <c r="CM47" s="91"/>
      <c r="CN47" s="91">
        <f t="shared" si="86"/>
        <v>0</v>
      </c>
      <c r="CO47" s="91">
        <f t="shared" si="86"/>
        <v>0</v>
      </c>
      <c r="CP47" s="91">
        <f t="shared" si="86"/>
        <v>0</v>
      </c>
      <c r="CQ47" s="91">
        <f t="shared" si="86"/>
        <v>0</v>
      </c>
    </row>
    <row r="48" spans="1:95" ht="16.5" hidden="1" customHeight="1" x14ac:dyDescent="0.3">
      <c r="A48" s="9"/>
      <c r="B48" s="28" t="s">
        <v>56</v>
      </c>
      <c r="C48" s="168"/>
      <c r="D48" s="125"/>
      <c r="E48" s="95"/>
      <c r="F48" s="170">
        <f t="shared" si="78"/>
        <v>0</v>
      </c>
      <c r="G48" s="83"/>
      <c r="H48" s="120"/>
      <c r="I48" s="31"/>
      <c r="J48" s="19">
        <f t="shared" si="79"/>
        <v>0</v>
      </c>
      <c r="K48" s="17"/>
      <c r="L48" s="120"/>
      <c r="M48" s="31"/>
      <c r="N48" s="19">
        <f t="shared" si="80"/>
        <v>0</v>
      </c>
      <c r="O48" s="25">
        <f t="shared" si="96"/>
        <v>0</v>
      </c>
      <c r="P48" s="95">
        <f t="shared" si="87"/>
        <v>0</v>
      </c>
      <c r="Q48" s="95">
        <f t="shared" si="87"/>
        <v>0</v>
      </c>
      <c r="R48" s="19">
        <f t="shared" si="88"/>
        <v>0</v>
      </c>
      <c r="S48" s="17"/>
      <c r="T48" s="120"/>
      <c r="U48" s="31"/>
      <c r="V48" s="19">
        <f t="shared" si="83"/>
        <v>0</v>
      </c>
      <c r="W48" s="17"/>
      <c r="X48" s="120"/>
      <c r="Y48" s="19"/>
      <c r="Z48" s="18">
        <f t="shared" si="37"/>
        <v>0</v>
      </c>
      <c r="AA48" s="83"/>
      <c r="AB48" s="120"/>
      <c r="AC48" s="95"/>
      <c r="AD48" s="19">
        <f t="shared" si="30"/>
        <v>0</v>
      </c>
      <c r="AE48" s="17">
        <f t="shared" si="102"/>
        <v>0</v>
      </c>
      <c r="AF48" s="18">
        <f t="shared" si="102"/>
        <v>0</v>
      </c>
      <c r="AG48" s="18">
        <f t="shared" si="102"/>
        <v>0</v>
      </c>
      <c r="AH48" s="19">
        <f t="shared" si="38"/>
        <v>0</v>
      </c>
      <c r="AI48" s="17">
        <f t="shared" si="103"/>
        <v>0</v>
      </c>
      <c r="AJ48" s="18">
        <f t="shared" si="103"/>
        <v>0</v>
      </c>
      <c r="AK48" s="18">
        <f t="shared" si="103"/>
        <v>0</v>
      </c>
      <c r="AL48" s="19">
        <f t="shared" si="99"/>
        <v>0</v>
      </c>
      <c r="AM48" s="17"/>
      <c r="AN48" s="120"/>
      <c r="AO48" s="95"/>
      <c r="AP48" s="20">
        <f t="shared" si="73"/>
        <v>0</v>
      </c>
      <c r="AQ48" s="17"/>
      <c r="AR48" s="120"/>
      <c r="AS48" s="95"/>
      <c r="AT48" s="20">
        <f t="shared" si="74"/>
        <v>0</v>
      </c>
      <c r="AU48" s="17"/>
      <c r="AV48" s="120"/>
      <c r="AW48" s="95"/>
      <c r="AX48" s="20">
        <f t="shared" si="97"/>
        <v>0</v>
      </c>
      <c r="AY48" s="17">
        <f t="shared" si="104"/>
        <v>0</v>
      </c>
      <c r="AZ48" s="18">
        <f t="shared" si="104"/>
        <v>0</v>
      </c>
      <c r="BA48" s="18">
        <f t="shared" si="104"/>
        <v>0</v>
      </c>
      <c r="BB48" s="19">
        <f t="shared" si="100"/>
        <v>0</v>
      </c>
      <c r="BC48" s="190">
        <f t="shared" si="91"/>
        <v>0</v>
      </c>
      <c r="BD48" s="84">
        <f t="shared" si="91"/>
        <v>0</v>
      </c>
      <c r="BE48" s="84">
        <f t="shared" si="107"/>
        <v>0</v>
      </c>
      <c r="BF48" s="170">
        <f t="shared" si="44"/>
        <v>0</v>
      </c>
      <c r="BG48" s="83"/>
      <c r="BH48" s="120"/>
      <c r="BI48" s="31"/>
      <c r="BJ48" s="41">
        <f t="shared" si="31"/>
        <v>0</v>
      </c>
      <c r="BK48" s="17"/>
      <c r="BL48" s="120"/>
      <c r="BM48" s="31"/>
      <c r="BN48" s="41">
        <f t="shared" si="45"/>
        <v>0</v>
      </c>
      <c r="BO48" s="17"/>
      <c r="BP48" s="120"/>
      <c r="BQ48" s="31"/>
      <c r="BR48" s="41">
        <f t="shared" si="46"/>
        <v>0</v>
      </c>
      <c r="BS48" s="17">
        <f t="shared" si="111"/>
        <v>0</v>
      </c>
      <c r="BT48" s="18">
        <f t="shared" si="111"/>
        <v>0</v>
      </c>
      <c r="BU48" s="18">
        <f t="shared" si="111"/>
        <v>0</v>
      </c>
      <c r="BV48" s="20">
        <f t="shared" si="47"/>
        <v>0</v>
      </c>
      <c r="BW48" s="17">
        <f t="shared" si="92"/>
        <v>0</v>
      </c>
      <c r="BX48" s="18">
        <f t="shared" si="92"/>
        <v>0</v>
      </c>
      <c r="BY48" s="18">
        <f t="shared" si="92"/>
        <v>0</v>
      </c>
      <c r="BZ48" s="20">
        <f t="shared" si="48"/>
        <v>0</v>
      </c>
      <c r="CA48" s="17">
        <f>BW48+AI48</f>
        <v>0</v>
      </c>
      <c r="CB48" s="18"/>
      <c r="CC48" s="18"/>
      <c r="CD48" s="20">
        <f t="shared" si="110"/>
        <v>0</v>
      </c>
      <c r="CH48" s="3"/>
      <c r="CJ48" s="91"/>
      <c r="CK48" s="91"/>
      <c r="CL48" s="91"/>
      <c r="CM48" s="91"/>
      <c r="CN48" s="91">
        <f t="shared" si="86"/>
        <v>0</v>
      </c>
      <c r="CO48" s="91">
        <f t="shared" si="86"/>
        <v>0</v>
      </c>
      <c r="CP48" s="91">
        <f t="shared" si="86"/>
        <v>0</v>
      </c>
      <c r="CQ48" s="91">
        <f t="shared" si="86"/>
        <v>0</v>
      </c>
    </row>
    <row r="49" spans="1:95" ht="16.5" x14ac:dyDescent="0.3">
      <c r="A49" s="9">
        <v>6.5</v>
      </c>
      <c r="B49" s="39" t="s">
        <v>59</v>
      </c>
      <c r="C49" s="168">
        <f>C50+C51</f>
        <v>60000</v>
      </c>
      <c r="D49" s="25">
        <f>D50+D51</f>
        <v>82255.05</v>
      </c>
      <c r="E49" s="90">
        <f>E50+E51</f>
        <v>82255.05</v>
      </c>
      <c r="F49" s="170">
        <f t="shared" si="78"/>
        <v>22255.050000000003</v>
      </c>
      <c r="G49" s="89">
        <f>G50+G51</f>
        <v>50000</v>
      </c>
      <c r="H49" s="25">
        <f>H50+H51</f>
        <v>178267.28</v>
      </c>
      <c r="I49" s="25">
        <f>I50+I51</f>
        <v>178267.28</v>
      </c>
      <c r="J49" s="19">
        <f t="shared" si="79"/>
        <v>128267.28</v>
      </c>
      <c r="K49" s="25">
        <f>K50+K51</f>
        <v>55000</v>
      </c>
      <c r="L49" s="25">
        <f>L50+L51</f>
        <v>31586.549999999996</v>
      </c>
      <c r="M49" s="25">
        <f>M50+M51</f>
        <v>12766.660000000002</v>
      </c>
      <c r="N49" s="19">
        <f t="shared" si="80"/>
        <v>-23413.450000000004</v>
      </c>
      <c r="O49" s="95">
        <f t="shared" ref="O49" si="115">K49+G49+C49</f>
        <v>165000</v>
      </c>
      <c r="P49" s="95">
        <f t="shared" si="87"/>
        <v>292108.88</v>
      </c>
      <c r="Q49" s="95">
        <f t="shared" si="87"/>
        <v>273288.99</v>
      </c>
      <c r="R49" s="30">
        <f t="shared" si="88"/>
        <v>127108.88</v>
      </c>
      <c r="S49" s="25">
        <f>S50+S51</f>
        <v>35000</v>
      </c>
      <c r="T49" s="31">
        <f>T50+T51</f>
        <v>24600.78</v>
      </c>
      <c r="U49" s="31">
        <f>U50+U51</f>
        <v>31863.279999999999</v>
      </c>
      <c r="V49" s="30">
        <f t="shared" si="83"/>
        <v>-10399.220000000001</v>
      </c>
      <c r="W49" s="25">
        <f>W50+W51</f>
        <v>65000</v>
      </c>
      <c r="X49" s="31">
        <f>X50+X51</f>
        <v>71085.850000000006</v>
      </c>
      <c r="Y49" s="30">
        <f>Y50+Y51</f>
        <v>122156.96</v>
      </c>
      <c r="Z49" s="31">
        <f t="shared" si="37"/>
        <v>6085.8500000000058</v>
      </c>
      <c r="AA49" s="89">
        <f>AA50+AA51</f>
        <v>65000</v>
      </c>
      <c r="AB49" s="31">
        <f>AB50+AB51</f>
        <v>58156.08</v>
      </c>
      <c r="AC49" s="95">
        <f>AC50+AC51</f>
        <v>124946.92000000001</v>
      </c>
      <c r="AD49" s="30">
        <f t="shared" si="30"/>
        <v>-6843.9199999999983</v>
      </c>
      <c r="AE49" s="25">
        <f t="shared" si="102"/>
        <v>165000</v>
      </c>
      <c r="AF49" s="31">
        <f t="shared" si="102"/>
        <v>153842.71000000002</v>
      </c>
      <c r="AG49" s="31">
        <f t="shared" si="102"/>
        <v>278967.16000000003</v>
      </c>
      <c r="AH49" s="19">
        <f t="shared" si="38"/>
        <v>-11157.289999999979</v>
      </c>
      <c r="AI49" s="25">
        <f t="shared" si="103"/>
        <v>330000</v>
      </c>
      <c r="AJ49" s="31">
        <f t="shared" si="103"/>
        <v>445951.59</v>
      </c>
      <c r="AK49" s="31">
        <f t="shared" si="103"/>
        <v>552256.15</v>
      </c>
      <c r="AL49" s="30">
        <f t="shared" si="99"/>
        <v>115951.59000000003</v>
      </c>
      <c r="AM49" s="25">
        <f>AM50+AM51</f>
        <v>65000</v>
      </c>
      <c r="AN49" s="31">
        <f>AN50+AN51</f>
        <v>114800.75</v>
      </c>
      <c r="AO49" s="95">
        <f>AO50+AO51</f>
        <v>262621.73000000004</v>
      </c>
      <c r="AP49" s="32">
        <f t="shared" si="73"/>
        <v>49800.75</v>
      </c>
      <c r="AQ49" s="25">
        <f>AQ50+AQ51</f>
        <v>65000</v>
      </c>
      <c r="AR49" s="31">
        <f>AR50+AR51</f>
        <v>251935.67</v>
      </c>
      <c r="AS49" s="95">
        <f>AS50+AS51</f>
        <v>337782.14999999997</v>
      </c>
      <c r="AT49" s="32">
        <f t="shared" si="74"/>
        <v>186935.67</v>
      </c>
      <c r="AU49" s="25">
        <f>AU50+AU51</f>
        <v>65000</v>
      </c>
      <c r="AV49" s="31">
        <f>AV50+AV51</f>
        <v>99518.76</v>
      </c>
      <c r="AW49" s="95">
        <f>AW50+AW51</f>
        <v>119745.60000000001</v>
      </c>
      <c r="AX49" s="20">
        <f t="shared" si="97"/>
        <v>34518.759999999995</v>
      </c>
      <c r="AY49" s="25">
        <f t="shared" si="104"/>
        <v>195000</v>
      </c>
      <c r="AZ49" s="31">
        <f t="shared" si="104"/>
        <v>466255.18000000005</v>
      </c>
      <c r="BA49" s="31">
        <f t="shared" si="104"/>
        <v>720149.48</v>
      </c>
      <c r="BB49" s="30">
        <f t="shared" si="100"/>
        <v>271255.18000000005</v>
      </c>
      <c r="BC49" s="191">
        <f t="shared" si="91"/>
        <v>525000</v>
      </c>
      <c r="BD49" s="96">
        <f t="shared" si="91"/>
        <v>912206.77</v>
      </c>
      <c r="BE49" s="163">
        <f t="shared" si="107"/>
        <v>1272405.6299999999</v>
      </c>
      <c r="BF49" s="178">
        <f t="shared" si="44"/>
        <v>387206.77</v>
      </c>
      <c r="BG49" s="89">
        <f>BG50+BG51</f>
        <v>65000</v>
      </c>
      <c r="BH49" s="31">
        <f>BH50+BH51</f>
        <v>71647.510000000009</v>
      </c>
      <c r="BI49" s="31">
        <f>BI50+BI51</f>
        <v>92629.31</v>
      </c>
      <c r="BJ49" s="27">
        <f t="shared" si="31"/>
        <v>6647.5100000000093</v>
      </c>
      <c r="BK49" s="25">
        <f>BK50+BK51</f>
        <v>60000</v>
      </c>
      <c r="BL49" s="31">
        <f>BL50+BL51</f>
        <v>54710.19</v>
      </c>
      <c r="BM49" s="31">
        <f>BM50+BM51</f>
        <v>76889.430000000008</v>
      </c>
      <c r="BN49" s="27">
        <f t="shared" si="45"/>
        <v>-5289.8099999999977</v>
      </c>
      <c r="BO49" s="31">
        <f>BO50+BO51</f>
        <v>50000</v>
      </c>
      <c r="BP49" s="31">
        <f>BP50+BP51</f>
        <v>114976.26000000001</v>
      </c>
      <c r="BQ49" s="31">
        <f>BQ50+BQ51</f>
        <v>318991.63</v>
      </c>
      <c r="BR49" s="27">
        <f t="shared" si="46"/>
        <v>64976.260000000009</v>
      </c>
      <c r="BS49" s="17">
        <f t="shared" si="111"/>
        <v>175000</v>
      </c>
      <c r="BT49" s="18">
        <f t="shared" si="111"/>
        <v>241333.96000000002</v>
      </c>
      <c r="BU49" s="18">
        <f t="shared" si="111"/>
        <v>488510.37</v>
      </c>
      <c r="BV49" s="20">
        <f t="shared" si="47"/>
        <v>66333.960000000021</v>
      </c>
      <c r="BW49" s="25">
        <f t="shared" si="92"/>
        <v>370000</v>
      </c>
      <c r="BX49" s="31">
        <f t="shared" si="92"/>
        <v>707589.14000000013</v>
      </c>
      <c r="BY49" s="95">
        <f t="shared" si="92"/>
        <v>1208659.8500000001</v>
      </c>
      <c r="BZ49" s="32">
        <f t="shared" si="48"/>
        <v>337589.14000000013</v>
      </c>
      <c r="CA49" s="25">
        <f>BW49+AI49</f>
        <v>700000</v>
      </c>
      <c r="CB49" s="25">
        <f t="shared" ref="CB49:CC49" si="116">BX49+AJ49</f>
        <v>1153540.7300000002</v>
      </c>
      <c r="CC49" s="25">
        <f t="shared" si="116"/>
        <v>1760916</v>
      </c>
      <c r="CD49" s="32">
        <f>CB49-CA49</f>
        <v>453540.73000000021</v>
      </c>
      <c r="CH49" s="3"/>
      <c r="CJ49" s="209">
        <f>CJ50+CJ51</f>
        <v>175000</v>
      </c>
      <c r="CK49" s="209">
        <f>CK50+CK51</f>
        <v>241333.96000000002</v>
      </c>
      <c r="CL49" s="209">
        <f>CL50+CL51</f>
        <v>488510.37</v>
      </c>
      <c r="CM49" s="209">
        <f>CM50+CM51</f>
        <v>66333.960000000006</v>
      </c>
      <c r="CN49" s="209">
        <f t="shared" si="86"/>
        <v>700000</v>
      </c>
      <c r="CO49" s="209">
        <f t="shared" si="86"/>
        <v>1153540.73</v>
      </c>
      <c r="CP49" s="209">
        <f t="shared" si="86"/>
        <v>1760916</v>
      </c>
      <c r="CQ49" s="209">
        <f t="shared" si="86"/>
        <v>453540.7300000001</v>
      </c>
    </row>
    <row r="50" spans="1:95" ht="17.649999999999999" hidden="1" customHeight="1" x14ac:dyDescent="0.3">
      <c r="A50" s="9"/>
      <c r="B50" s="26" t="s">
        <v>60</v>
      </c>
      <c r="C50" s="174">
        <v>30000</v>
      </c>
      <c r="D50" s="43">
        <f>12400+6739.45+21900+11233.35+10282.58+5973.87</f>
        <v>68529.25</v>
      </c>
      <c r="E50" s="43">
        <f>12400+21900+34229.25</f>
        <v>68529.25</v>
      </c>
      <c r="F50" s="170">
        <f t="shared" si="78"/>
        <v>38529.25</v>
      </c>
      <c r="G50" s="83">
        <v>20000</v>
      </c>
      <c r="H50" s="18">
        <f>17955.75+9049.4+2849.26+1480.4+31500+740.2+2262.35+50754+15005.54</f>
        <v>131596.9</v>
      </c>
      <c r="I50" s="18">
        <f>15005.54+34337.36+31500+50754</f>
        <v>131596.9</v>
      </c>
      <c r="J50" s="19">
        <f t="shared" si="79"/>
        <v>111596.9</v>
      </c>
      <c r="K50" s="17">
        <v>25000</v>
      </c>
      <c r="L50" s="18">
        <f>1597.1+4154</f>
        <v>5751.1</v>
      </c>
      <c r="M50" s="43">
        <f>5751.1</f>
        <v>5751.1</v>
      </c>
      <c r="N50" s="19">
        <f t="shared" si="80"/>
        <v>-19248.900000000001</v>
      </c>
      <c r="O50" s="17">
        <f t="shared" si="96"/>
        <v>75000</v>
      </c>
      <c r="P50" s="43">
        <f t="shared" si="87"/>
        <v>205877.25</v>
      </c>
      <c r="Q50" s="43">
        <f t="shared" si="87"/>
        <v>205877.25</v>
      </c>
      <c r="R50" s="19">
        <f t="shared" si="88"/>
        <v>130877.25</v>
      </c>
      <c r="S50" s="17">
        <v>15000</v>
      </c>
      <c r="T50" s="18"/>
      <c r="U50" s="43">
        <v>7262.5</v>
      </c>
      <c r="V50" s="19">
        <f t="shared" si="83"/>
        <v>-15000</v>
      </c>
      <c r="W50" s="17">
        <v>35000</v>
      </c>
      <c r="X50" s="18"/>
      <c r="Y50" s="37"/>
      <c r="Z50" s="18">
        <f t="shared" si="37"/>
        <v>-35000</v>
      </c>
      <c r="AA50" s="83">
        <v>35000</v>
      </c>
      <c r="AB50" s="18">
        <f>20937.6+5493.13+4033.69</f>
        <v>30464.42</v>
      </c>
      <c r="AC50" s="43">
        <v>54092.94</v>
      </c>
      <c r="AD50" s="19">
        <f t="shared" si="30"/>
        <v>-4535.5800000000017</v>
      </c>
      <c r="AE50" s="17">
        <f t="shared" si="102"/>
        <v>85000</v>
      </c>
      <c r="AF50" s="18">
        <f t="shared" si="102"/>
        <v>30464.42</v>
      </c>
      <c r="AG50" s="18">
        <f t="shared" si="102"/>
        <v>61355.44</v>
      </c>
      <c r="AH50" s="19">
        <f t="shared" si="38"/>
        <v>-54535.58</v>
      </c>
      <c r="AI50" s="17">
        <f t="shared" si="103"/>
        <v>160000</v>
      </c>
      <c r="AJ50" s="18">
        <f t="shared" si="103"/>
        <v>236341.66999999998</v>
      </c>
      <c r="AK50" s="18">
        <f t="shared" si="103"/>
        <v>267232.69</v>
      </c>
      <c r="AL50" s="19">
        <f t="shared" si="99"/>
        <v>76341.669999999984</v>
      </c>
      <c r="AM50" s="17">
        <v>35000</v>
      </c>
      <c r="AN50" s="18">
        <f>12015+2939.9+4826.43+6787.09</f>
        <v>26568.420000000002</v>
      </c>
      <c r="AO50" s="43">
        <f>7259.9</f>
        <v>7259.9</v>
      </c>
      <c r="AP50" s="20">
        <f t="shared" si="73"/>
        <v>-8431.5799999999981</v>
      </c>
      <c r="AQ50" s="17">
        <v>35000</v>
      </c>
      <c r="AR50" s="18">
        <f>4320+1120+6120.99+890+12826.17+6097</f>
        <v>31374.16</v>
      </c>
      <c r="AS50" s="43">
        <v>20957.16</v>
      </c>
      <c r="AT50" s="20">
        <f t="shared" si="74"/>
        <v>-3625.84</v>
      </c>
      <c r="AU50" s="17">
        <v>35000</v>
      </c>
      <c r="AV50" s="18">
        <f>50754+8634</f>
        <v>59388</v>
      </c>
      <c r="AW50" s="43">
        <f>50754+8634</f>
        <v>59388</v>
      </c>
      <c r="AX50" s="20">
        <f t="shared" si="97"/>
        <v>24388</v>
      </c>
      <c r="AY50" s="17">
        <f t="shared" si="104"/>
        <v>105000</v>
      </c>
      <c r="AZ50" s="18">
        <f t="shared" si="104"/>
        <v>117330.58</v>
      </c>
      <c r="BA50" s="18">
        <f t="shared" si="104"/>
        <v>87605.06</v>
      </c>
      <c r="BB50" s="19">
        <f t="shared" si="100"/>
        <v>12330.580000000002</v>
      </c>
      <c r="BC50" s="190">
        <f t="shared" si="91"/>
        <v>265000</v>
      </c>
      <c r="BD50" s="84">
        <f t="shared" si="91"/>
        <v>353672.25</v>
      </c>
      <c r="BE50" s="84">
        <f t="shared" si="107"/>
        <v>354837.75</v>
      </c>
      <c r="BF50" s="170">
        <f t="shared" si="44"/>
        <v>88672.25</v>
      </c>
      <c r="BG50" s="83">
        <v>35000</v>
      </c>
      <c r="BH50" s="18">
        <f>52239.44+7432.47</f>
        <v>59671.91</v>
      </c>
      <c r="BI50" s="18">
        <v>59671.91</v>
      </c>
      <c r="BJ50" s="41">
        <f t="shared" si="31"/>
        <v>24671.910000000003</v>
      </c>
      <c r="BK50" s="17">
        <v>30000</v>
      </c>
      <c r="BL50" s="18">
        <f>23482.74</f>
        <v>23482.74</v>
      </c>
      <c r="BM50" s="18">
        <f>23482.74+29755</f>
        <v>53237.740000000005</v>
      </c>
      <c r="BN50" s="41">
        <f t="shared" si="45"/>
        <v>-6517.2599999999984</v>
      </c>
      <c r="BO50" s="17">
        <v>20000</v>
      </c>
      <c r="BP50" s="18">
        <f>4300.83+57024+4336.3+5824+2208+11300</f>
        <v>84993.13</v>
      </c>
      <c r="BQ50" s="18">
        <f>57024+29765.57+4300.83+9000</f>
        <v>100090.40000000001</v>
      </c>
      <c r="BR50" s="41">
        <f t="shared" si="46"/>
        <v>64993.130000000005</v>
      </c>
      <c r="BS50" s="17">
        <f t="shared" si="111"/>
        <v>85000</v>
      </c>
      <c r="BT50" s="18">
        <f t="shared" si="111"/>
        <v>168147.78000000003</v>
      </c>
      <c r="BU50" s="18">
        <f t="shared" si="111"/>
        <v>213000.05000000002</v>
      </c>
      <c r="BV50" s="20">
        <f t="shared" si="47"/>
        <v>83147.780000000028</v>
      </c>
      <c r="BW50" s="17">
        <f t="shared" si="92"/>
        <v>190000</v>
      </c>
      <c r="BX50" s="18">
        <f t="shared" si="92"/>
        <v>285478.36000000004</v>
      </c>
      <c r="BY50" s="43">
        <f t="shared" si="92"/>
        <v>300605.11</v>
      </c>
      <c r="BZ50" s="20">
        <f t="shared" si="48"/>
        <v>95478.360000000044</v>
      </c>
      <c r="CA50" s="17">
        <f>BW50+AI50</f>
        <v>350000</v>
      </c>
      <c r="CB50" s="18">
        <f t="shared" ref="CB50:CC51" si="117">BX50+AJ50</f>
        <v>521820.03</v>
      </c>
      <c r="CC50" s="43">
        <f t="shared" si="117"/>
        <v>567837.80000000005</v>
      </c>
      <c r="CD50" s="20">
        <f t="shared" si="110"/>
        <v>171820.03000000003</v>
      </c>
      <c r="CH50" s="3"/>
      <c r="CJ50" s="91">
        <f t="shared" ref="CJ50:CM51" si="118">BG50+BK50+BO50</f>
        <v>85000</v>
      </c>
      <c r="CK50" s="91">
        <f t="shared" si="118"/>
        <v>168147.78000000003</v>
      </c>
      <c r="CL50" s="91">
        <f t="shared" si="118"/>
        <v>213000.05000000002</v>
      </c>
      <c r="CM50" s="91">
        <f t="shared" si="118"/>
        <v>83147.780000000013</v>
      </c>
      <c r="CN50" s="91">
        <f t="shared" si="86"/>
        <v>350000</v>
      </c>
      <c r="CO50" s="91">
        <f t="shared" si="86"/>
        <v>521820.03</v>
      </c>
      <c r="CP50" s="91">
        <f t="shared" si="86"/>
        <v>567837.80000000005</v>
      </c>
      <c r="CQ50" s="91">
        <f t="shared" si="86"/>
        <v>171820.03000000003</v>
      </c>
    </row>
    <row r="51" spans="1:95" ht="21.4" hidden="1" customHeight="1" x14ac:dyDescent="0.3">
      <c r="A51" s="9"/>
      <c r="B51" s="28" t="s">
        <v>61</v>
      </c>
      <c r="C51" s="174">
        <v>30000</v>
      </c>
      <c r="D51" s="18">
        <f>4933.8+6903+1889</f>
        <v>13725.8</v>
      </c>
      <c r="E51" s="43">
        <f>11836.8+1889</f>
        <v>13725.8</v>
      </c>
      <c r="F51" s="170">
        <f t="shared" si="78"/>
        <v>-16274.2</v>
      </c>
      <c r="G51" s="83">
        <v>30000</v>
      </c>
      <c r="H51" s="18">
        <f>2880+9287.28+4503.1+30000</f>
        <v>46670.380000000005</v>
      </c>
      <c r="I51" s="43">
        <f>30000+13790.38+2880</f>
        <v>46670.38</v>
      </c>
      <c r="J51" s="19">
        <f t="shared" si="79"/>
        <v>16670.380000000005</v>
      </c>
      <c r="K51" s="17">
        <v>30000</v>
      </c>
      <c r="L51" s="18">
        <f>19553.76+6281.69</f>
        <v>25835.449999999997</v>
      </c>
      <c r="M51" s="18">
        <f>25835.45-18819.89</f>
        <v>7015.5600000000013</v>
      </c>
      <c r="N51" s="19">
        <f t="shared" si="80"/>
        <v>-4164.5500000000029</v>
      </c>
      <c r="O51" s="17">
        <f t="shared" si="96"/>
        <v>90000</v>
      </c>
      <c r="P51" s="43">
        <f t="shared" ref="P51:Q51" si="119">L51+H51+D51</f>
        <v>86231.63</v>
      </c>
      <c r="Q51" s="43">
        <f t="shared" si="119"/>
        <v>67411.740000000005</v>
      </c>
      <c r="R51" s="19">
        <f t="shared" si="88"/>
        <v>-3768.3699999999953</v>
      </c>
      <c r="S51" s="17">
        <v>20000</v>
      </c>
      <c r="T51" s="18">
        <f>6501.1+2226.42+13943.66+1929.6</f>
        <v>24600.78</v>
      </c>
      <c r="U51" s="18">
        <f>18099.68+6501.1</f>
        <v>24600.78</v>
      </c>
      <c r="V51" s="19">
        <f t="shared" si="83"/>
        <v>4600.7799999999988</v>
      </c>
      <c r="W51" s="17">
        <v>30000</v>
      </c>
      <c r="X51" s="18">
        <f>9340+7639.9+21443.96+32661.99</f>
        <v>71085.850000000006</v>
      </c>
      <c r="Y51" s="19">
        <f>54105.95+16979.9+51071.11</f>
        <v>122156.96</v>
      </c>
      <c r="Z51" s="18">
        <f t="shared" si="37"/>
        <v>41085.850000000006</v>
      </c>
      <c r="AA51" s="83">
        <v>30000</v>
      </c>
      <c r="AB51" s="18">
        <f>3267+6264+18160.66</f>
        <v>27691.66</v>
      </c>
      <c r="AC51" s="43">
        <f>6264+3267+61322.98</f>
        <v>70853.98000000001</v>
      </c>
      <c r="AD51" s="19">
        <f t="shared" si="30"/>
        <v>-2308.34</v>
      </c>
      <c r="AE51" s="17">
        <f t="shared" si="102"/>
        <v>80000</v>
      </c>
      <c r="AF51" s="18">
        <f t="shared" si="102"/>
        <v>123378.29000000001</v>
      </c>
      <c r="AG51" s="18">
        <f t="shared" si="102"/>
        <v>217611.72</v>
      </c>
      <c r="AH51" s="19">
        <f t="shared" si="38"/>
        <v>43378.290000000008</v>
      </c>
      <c r="AI51" s="17">
        <f t="shared" si="103"/>
        <v>170000</v>
      </c>
      <c r="AJ51" s="18">
        <f t="shared" si="103"/>
        <v>209609.92</v>
      </c>
      <c r="AK51" s="18">
        <f t="shared" si="103"/>
        <v>285023.46000000002</v>
      </c>
      <c r="AL51" s="19">
        <f t="shared" si="99"/>
        <v>39609.920000000013</v>
      </c>
      <c r="AM51" s="17">
        <v>30000</v>
      </c>
      <c r="AN51" s="18">
        <f>23573.7+5287.43+8747+14101.2+33698+2825</f>
        <v>88232.33</v>
      </c>
      <c r="AO51" s="43">
        <f>94820.99+8747+145018.84+6775</f>
        <v>255361.83000000002</v>
      </c>
      <c r="AP51" s="20">
        <f t="shared" si="73"/>
        <v>58232.33</v>
      </c>
      <c r="AQ51" s="17">
        <v>30000</v>
      </c>
      <c r="AR51" s="18">
        <f>145018.84+203030.12+38133.76+13284.09+4319.7-183225</f>
        <v>220561.51</v>
      </c>
      <c r="AS51" s="43">
        <f>55737.55+246010.52+15076.92</f>
        <v>316824.99</v>
      </c>
      <c r="AT51" s="20">
        <f t="shared" si="74"/>
        <v>190561.51</v>
      </c>
      <c r="AU51" s="17">
        <v>30000</v>
      </c>
      <c r="AV51" s="18">
        <f>28788.4+7027.16+4315.2</f>
        <v>40130.759999999995</v>
      </c>
      <c r="AW51" s="43">
        <f>58711.8+5964.6+4315.2-8634</f>
        <v>60357.600000000006</v>
      </c>
      <c r="AX51" s="20">
        <f t="shared" si="97"/>
        <v>10130.759999999995</v>
      </c>
      <c r="AY51" s="17">
        <f t="shared" si="104"/>
        <v>90000</v>
      </c>
      <c r="AZ51" s="18">
        <f>AN51+AR51+AV51</f>
        <v>348924.60000000003</v>
      </c>
      <c r="BA51" s="18">
        <f t="shared" si="104"/>
        <v>632544.42000000004</v>
      </c>
      <c r="BB51" s="19">
        <f t="shared" si="100"/>
        <v>258924.60000000003</v>
      </c>
      <c r="BC51" s="190">
        <f t="shared" si="91"/>
        <v>260000</v>
      </c>
      <c r="BD51" s="84">
        <f t="shared" si="91"/>
        <v>558534.52</v>
      </c>
      <c r="BE51" s="84">
        <f t="shared" si="107"/>
        <v>917567.88000000012</v>
      </c>
      <c r="BF51" s="170">
        <f t="shared" si="44"/>
        <v>298534.52</v>
      </c>
      <c r="BG51" s="83">
        <v>30000</v>
      </c>
      <c r="BH51" s="18">
        <f>11254.8+720.8</f>
        <v>11975.599999999999</v>
      </c>
      <c r="BI51" s="18">
        <f>21702.6+11254.8</f>
        <v>32957.399999999994</v>
      </c>
      <c r="BJ51" s="41">
        <f t="shared" si="31"/>
        <v>-18024.400000000001</v>
      </c>
      <c r="BK51" s="17">
        <v>30000</v>
      </c>
      <c r="BL51" s="18">
        <f>940.5+2821.5+5954.4+11322.9+10188.15</f>
        <v>31227.449999999997</v>
      </c>
      <c r="BM51" s="18">
        <f>49644.69+3762-29755</f>
        <v>23651.690000000002</v>
      </c>
      <c r="BN51" s="41">
        <f t="shared" si="45"/>
        <v>1227.4499999999971</v>
      </c>
      <c r="BO51" s="17">
        <v>30000</v>
      </c>
      <c r="BP51" s="18">
        <f>1175.8+224.46+7560+7069.98+328.72+13624.17</f>
        <v>29983.129999999997</v>
      </c>
      <c r="BQ51" s="18">
        <f>53742.73+163982.7+1175.8</f>
        <v>218901.23</v>
      </c>
      <c r="BR51" s="41">
        <f t="shared" si="46"/>
        <v>-16.870000000002619</v>
      </c>
      <c r="BS51" s="17">
        <f t="shared" si="111"/>
        <v>90000</v>
      </c>
      <c r="BT51" s="18">
        <f t="shared" si="111"/>
        <v>73186.179999999993</v>
      </c>
      <c r="BU51" s="18">
        <f t="shared" si="111"/>
        <v>275510.32</v>
      </c>
      <c r="BV51" s="20">
        <f t="shared" si="47"/>
        <v>-16813.820000000007</v>
      </c>
      <c r="BW51" s="17">
        <f t="shared" si="92"/>
        <v>180000</v>
      </c>
      <c r="BX51" s="18">
        <f t="shared" si="92"/>
        <v>422110.78</v>
      </c>
      <c r="BY51" s="43">
        <f t="shared" si="92"/>
        <v>908054.74</v>
      </c>
      <c r="BZ51" s="20">
        <f t="shared" si="48"/>
        <v>242110.78000000003</v>
      </c>
      <c r="CA51" s="17">
        <f>BW51+AI51</f>
        <v>350000</v>
      </c>
      <c r="CB51" s="18">
        <f t="shared" si="117"/>
        <v>631720.70000000007</v>
      </c>
      <c r="CC51" s="43">
        <f t="shared" si="117"/>
        <v>1193078.2</v>
      </c>
      <c r="CD51" s="20">
        <f t="shared" si="110"/>
        <v>281720.70000000007</v>
      </c>
      <c r="CH51" s="3"/>
      <c r="CJ51" s="91">
        <f t="shared" si="118"/>
        <v>90000</v>
      </c>
      <c r="CK51" s="91">
        <f t="shared" si="118"/>
        <v>73186.179999999993</v>
      </c>
      <c r="CL51" s="91">
        <f t="shared" si="118"/>
        <v>275510.32</v>
      </c>
      <c r="CM51" s="91">
        <f t="shared" si="118"/>
        <v>-16813.820000000007</v>
      </c>
      <c r="CN51" s="91">
        <f t="shared" si="86"/>
        <v>350000</v>
      </c>
      <c r="CO51" s="91">
        <f t="shared" si="86"/>
        <v>631720.69999999995</v>
      </c>
      <c r="CP51" s="91">
        <f t="shared" si="86"/>
        <v>1193078.2000000002</v>
      </c>
      <c r="CQ51" s="91">
        <f t="shared" si="86"/>
        <v>281720.7</v>
      </c>
    </row>
    <row r="52" spans="1:95" ht="16.5" x14ac:dyDescent="0.3">
      <c r="A52" s="9">
        <v>6.6</v>
      </c>
      <c r="B52" s="39" t="s">
        <v>62</v>
      </c>
      <c r="C52" s="31">
        <f t="shared" ref="C52:M52" si="120">C53+C54+C55</f>
        <v>12500</v>
      </c>
      <c r="D52" s="31">
        <f t="shared" si="120"/>
        <v>22071</v>
      </c>
      <c r="E52" s="95">
        <f t="shared" si="120"/>
        <v>89471</v>
      </c>
      <c r="F52" s="178">
        <f t="shared" si="120"/>
        <v>9571</v>
      </c>
      <c r="G52" s="89">
        <f t="shared" si="120"/>
        <v>12500</v>
      </c>
      <c r="H52" s="31">
        <f>H53+H54+H55</f>
        <v>76463.960000000006</v>
      </c>
      <c r="I52" s="31">
        <f t="shared" si="120"/>
        <v>9063.9599999999991</v>
      </c>
      <c r="J52" s="31">
        <f t="shared" si="120"/>
        <v>63963.96</v>
      </c>
      <c r="K52" s="31">
        <f t="shared" si="120"/>
        <v>12500</v>
      </c>
      <c r="L52" s="31">
        <f t="shared" si="120"/>
        <v>136627.17000000001</v>
      </c>
      <c r="M52" s="31">
        <f t="shared" si="120"/>
        <v>136627.17000000001</v>
      </c>
      <c r="N52" s="19">
        <f t="shared" si="80"/>
        <v>124127.17000000001</v>
      </c>
      <c r="O52" s="31">
        <f t="shared" ref="O52:BZ52" si="121">O53+O54+O55</f>
        <v>37500</v>
      </c>
      <c r="P52" s="31">
        <f t="shared" si="121"/>
        <v>235162.13</v>
      </c>
      <c r="Q52" s="31">
        <f t="shared" si="121"/>
        <v>235162.13</v>
      </c>
      <c r="R52" s="31">
        <f t="shared" si="121"/>
        <v>197662.13</v>
      </c>
      <c r="S52" s="31">
        <f t="shared" si="121"/>
        <v>12500</v>
      </c>
      <c r="T52" s="31">
        <f t="shared" si="121"/>
        <v>0</v>
      </c>
      <c r="U52" s="31">
        <f t="shared" si="121"/>
        <v>0</v>
      </c>
      <c r="V52" s="31">
        <f t="shared" si="121"/>
        <v>-12500</v>
      </c>
      <c r="W52" s="31">
        <f t="shared" si="121"/>
        <v>12500</v>
      </c>
      <c r="X52" s="31">
        <f t="shared" si="121"/>
        <v>0</v>
      </c>
      <c r="Y52" s="30">
        <f t="shared" si="121"/>
        <v>0</v>
      </c>
      <c r="Z52" s="31">
        <f t="shared" si="121"/>
        <v>-12500</v>
      </c>
      <c r="AA52" s="89">
        <f t="shared" si="121"/>
        <v>12500</v>
      </c>
      <c r="AB52" s="31">
        <f t="shared" si="121"/>
        <v>18148.89</v>
      </c>
      <c r="AC52" s="31">
        <f t="shared" si="121"/>
        <v>18148.89</v>
      </c>
      <c r="AD52" s="31">
        <f t="shared" si="121"/>
        <v>5648.8899999999994</v>
      </c>
      <c r="AE52" s="31">
        <f t="shared" si="121"/>
        <v>37500</v>
      </c>
      <c r="AF52" s="31">
        <f t="shared" si="121"/>
        <v>18148.89</v>
      </c>
      <c r="AG52" s="31">
        <f t="shared" si="121"/>
        <v>18148.89</v>
      </c>
      <c r="AH52" s="31">
        <f t="shared" si="121"/>
        <v>-19351.11</v>
      </c>
      <c r="AI52" s="31">
        <f t="shared" si="121"/>
        <v>75000</v>
      </c>
      <c r="AJ52" s="31">
        <f t="shared" si="121"/>
        <v>253311.02000000002</v>
      </c>
      <c r="AK52" s="31">
        <f t="shared" si="121"/>
        <v>253311.02000000002</v>
      </c>
      <c r="AL52" s="31">
        <f t="shared" si="121"/>
        <v>178311.02000000002</v>
      </c>
      <c r="AM52" s="31">
        <f t="shared" si="121"/>
        <v>12500</v>
      </c>
      <c r="AN52" s="31">
        <f t="shared" si="121"/>
        <v>0</v>
      </c>
      <c r="AO52" s="31">
        <f t="shared" si="121"/>
        <v>0</v>
      </c>
      <c r="AP52" s="31">
        <f t="shared" si="121"/>
        <v>-12500</v>
      </c>
      <c r="AQ52" s="31">
        <f t="shared" si="121"/>
        <v>12500</v>
      </c>
      <c r="AR52" s="31">
        <f t="shared" si="121"/>
        <v>3888.98</v>
      </c>
      <c r="AS52" s="95">
        <f t="shared" si="121"/>
        <v>3888.98</v>
      </c>
      <c r="AT52" s="31">
        <f t="shared" si="121"/>
        <v>-8611.02</v>
      </c>
      <c r="AU52" s="31">
        <f t="shared" si="121"/>
        <v>12500</v>
      </c>
      <c r="AV52" s="31">
        <f t="shared" si="121"/>
        <v>4073.2</v>
      </c>
      <c r="AW52" s="95">
        <f t="shared" si="121"/>
        <v>4073.2</v>
      </c>
      <c r="AX52" s="31">
        <f t="shared" si="121"/>
        <v>-8426.7999999999993</v>
      </c>
      <c r="AY52" s="31">
        <f t="shared" si="121"/>
        <v>37500</v>
      </c>
      <c r="AZ52" s="31">
        <f t="shared" si="121"/>
        <v>7962.18</v>
      </c>
      <c r="BA52" s="31">
        <f t="shared" si="121"/>
        <v>7962.18</v>
      </c>
      <c r="BB52" s="30">
        <f t="shared" si="121"/>
        <v>-29537.82</v>
      </c>
      <c r="BC52" s="168">
        <f t="shared" si="121"/>
        <v>112500</v>
      </c>
      <c r="BD52" s="31">
        <f t="shared" si="121"/>
        <v>261273.2</v>
      </c>
      <c r="BE52" s="31">
        <f t="shared" si="121"/>
        <v>261273.2</v>
      </c>
      <c r="BF52" s="178">
        <f t="shared" si="121"/>
        <v>148773.20000000001</v>
      </c>
      <c r="BG52" s="89">
        <f t="shared" si="121"/>
        <v>12500</v>
      </c>
      <c r="BH52" s="31">
        <f t="shared" si="121"/>
        <v>10926.8</v>
      </c>
      <c r="BI52" s="31">
        <f t="shared" si="121"/>
        <v>10926.8</v>
      </c>
      <c r="BJ52" s="31">
        <f t="shared" si="121"/>
        <v>-1573.2000000000007</v>
      </c>
      <c r="BK52" s="31">
        <f t="shared" si="121"/>
        <v>12500</v>
      </c>
      <c r="BL52" s="31">
        <f t="shared" si="121"/>
        <v>0</v>
      </c>
      <c r="BM52" s="31">
        <f t="shared" si="121"/>
        <v>0</v>
      </c>
      <c r="BN52" s="31">
        <f t="shared" si="121"/>
        <v>-12500</v>
      </c>
      <c r="BO52" s="31">
        <f t="shared" si="121"/>
        <v>12500</v>
      </c>
      <c r="BP52" s="31">
        <f t="shared" si="121"/>
        <v>0</v>
      </c>
      <c r="BQ52" s="31">
        <f t="shared" si="121"/>
        <v>0</v>
      </c>
      <c r="BR52" s="31">
        <f t="shared" si="121"/>
        <v>-12500</v>
      </c>
      <c r="BS52" s="31">
        <f t="shared" si="121"/>
        <v>37500</v>
      </c>
      <c r="BT52" s="31">
        <f t="shared" si="121"/>
        <v>10926.8</v>
      </c>
      <c r="BU52" s="31">
        <f t="shared" si="121"/>
        <v>10926.8</v>
      </c>
      <c r="BV52" s="31">
        <f t="shared" si="121"/>
        <v>-26573.200000000001</v>
      </c>
      <c r="BW52" s="31">
        <f t="shared" si="121"/>
        <v>75000</v>
      </c>
      <c r="BX52" s="31">
        <f t="shared" si="121"/>
        <v>18888.98</v>
      </c>
      <c r="BY52" s="31">
        <f t="shared" si="121"/>
        <v>18888.98</v>
      </c>
      <c r="BZ52" s="31">
        <f t="shared" si="121"/>
        <v>-56111.020000000004</v>
      </c>
      <c r="CA52" s="31">
        <f t="shared" ref="CA52:CC52" si="122">CA53+CA54+CA55</f>
        <v>150000</v>
      </c>
      <c r="CB52" s="31">
        <f t="shared" si="122"/>
        <v>272200</v>
      </c>
      <c r="CC52" s="31">
        <f t="shared" si="122"/>
        <v>272200</v>
      </c>
      <c r="CD52" s="31">
        <f>CB52-CA52</f>
        <v>122200</v>
      </c>
      <c r="CH52" s="3"/>
      <c r="CJ52" s="209">
        <f>CJ53+CJ54+CJ55</f>
        <v>37500</v>
      </c>
      <c r="CK52" s="209">
        <f>CK53+CK54+CK55</f>
        <v>10926.8</v>
      </c>
      <c r="CL52" s="209">
        <f>CL53+CL54+CL55</f>
        <v>10926.8</v>
      </c>
      <c r="CM52" s="209">
        <f>CM53+CM54+CM55</f>
        <v>-26573.200000000001</v>
      </c>
      <c r="CN52" s="209">
        <f t="shared" si="86"/>
        <v>150000</v>
      </c>
      <c r="CO52" s="209">
        <f t="shared" si="86"/>
        <v>272200</v>
      </c>
      <c r="CP52" s="209">
        <f t="shared" si="86"/>
        <v>272200</v>
      </c>
      <c r="CQ52" s="209">
        <f t="shared" si="86"/>
        <v>122200.00000000001</v>
      </c>
    </row>
    <row r="53" spans="1:95" ht="16.5" hidden="1" outlineLevel="1" x14ac:dyDescent="0.3">
      <c r="A53" s="9"/>
      <c r="B53" s="28" t="s">
        <v>63</v>
      </c>
      <c r="C53" s="168">
        <v>12500</v>
      </c>
      <c r="D53" s="18"/>
      <c r="E53" s="43">
        <f>67400</f>
        <v>67400</v>
      </c>
      <c r="F53" s="170">
        <f>D53-C53</f>
        <v>-12500</v>
      </c>
      <c r="G53" s="89"/>
      <c r="H53" s="18">
        <v>67400</v>
      </c>
      <c r="I53" s="31"/>
      <c r="J53" s="19">
        <f>H53-G53</f>
        <v>67400</v>
      </c>
      <c r="K53" s="25"/>
      <c r="L53" s="31">
        <v>129000</v>
      </c>
      <c r="M53" s="95">
        <v>129000</v>
      </c>
      <c r="N53" s="19">
        <f t="shared" si="80"/>
        <v>129000</v>
      </c>
      <c r="O53" s="17">
        <f>C53+G53+K53</f>
        <v>12500</v>
      </c>
      <c r="P53" s="43">
        <f t="shared" ref="P53:Q56" si="123">L53+H53+D53</f>
        <v>196400</v>
      </c>
      <c r="Q53" s="43">
        <f t="shared" si="123"/>
        <v>196400</v>
      </c>
      <c r="R53" s="19">
        <f>P53-O53</f>
        <v>183900</v>
      </c>
      <c r="S53" s="17">
        <v>12500</v>
      </c>
      <c r="T53" s="31"/>
      <c r="U53" s="31"/>
      <c r="V53" s="19">
        <f>T53-S53</f>
        <v>-12500</v>
      </c>
      <c r="W53" s="25">
        <v>12500</v>
      </c>
      <c r="X53" s="31"/>
      <c r="Y53" s="30"/>
      <c r="Z53" s="18">
        <f>X53-W53</f>
        <v>-12500</v>
      </c>
      <c r="AA53" s="89">
        <v>12500</v>
      </c>
      <c r="AB53" s="31"/>
      <c r="AC53" s="31"/>
      <c r="AD53" s="19">
        <f>AB53-AA53</f>
        <v>-12500</v>
      </c>
      <c r="AE53" s="17">
        <f t="shared" ref="AE53:AG56" si="124">S53+W53+AA53</f>
        <v>37500</v>
      </c>
      <c r="AF53" s="18">
        <f t="shared" si="124"/>
        <v>0</v>
      </c>
      <c r="AG53" s="18">
        <f t="shared" si="124"/>
        <v>0</v>
      </c>
      <c r="AH53" s="19">
        <f>AF53-AE53</f>
        <v>-37500</v>
      </c>
      <c r="AI53" s="17">
        <f t="shared" ref="AI53:AK56" si="125">AE53+O53</f>
        <v>50000</v>
      </c>
      <c r="AJ53" s="18">
        <f t="shared" si="125"/>
        <v>196400</v>
      </c>
      <c r="AK53" s="18">
        <f t="shared" si="125"/>
        <v>196400</v>
      </c>
      <c r="AL53" s="19">
        <f>AJ53-AI53</f>
        <v>146400</v>
      </c>
      <c r="AM53" s="25"/>
      <c r="AN53" s="31"/>
      <c r="AO53" s="31"/>
      <c r="AP53" s="20">
        <f>AN53-AM53</f>
        <v>0</v>
      </c>
      <c r="AQ53" s="25"/>
      <c r="AR53" s="31"/>
      <c r="AS53" s="31"/>
      <c r="AT53" s="20">
        <f>AR53-AQ53</f>
        <v>0</v>
      </c>
      <c r="AU53" s="25"/>
      <c r="AV53" s="31"/>
      <c r="AW53" s="95"/>
      <c r="AX53" s="20">
        <f>AV53-AU53</f>
        <v>0</v>
      </c>
      <c r="AY53" s="17">
        <f t="shared" ref="AY53:BA56" si="126">AM53+AQ53+AU53</f>
        <v>0</v>
      </c>
      <c r="AZ53" s="18">
        <f t="shared" si="126"/>
        <v>0</v>
      </c>
      <c r="BA53" s="18">
        <f t="shared" si="126"/>
        <v>0</v>
      </c>
      <c r="BB53" s="19">
        <f>AZ53-AY53</f>
        <v>0</v>
      </c>
      <c r="BC53" s="190">
        <f t="shared" ref="BC53:BE56" si="127">(AI53+AY53)</f>
        <v>50000</v>
      </c>
      <c r="BD53" s="84">
        <f t="shared" si="127"/>
        <v>196400</v>
      </c>
      <c r="BE53" s="84">
        <f t="shared" si="127"/>
        <v>196400</v>
      </c>
      <c r="BF53" s="170">
        <f>BD53-BC53</f>
        <v>146400</v>
      </c>
      <c r="BG53" s="89"/>
      <c r="BH53" s="31"/>
      <c r="BI53" s="31"/>
      <c r="BJ53" s="41">
        <f>BH53-BG53</f>
        <v>0</v>
      </c>
      <c r="BK53" s="25"/>
      <c r="BL53" s="31"/>
      <c r="BM53" s="31"/>
      <c r="BN53" s="41">
        <f>BL53-BK53</f>
        <v>0</v>
      </c>
      <c r="BO53" s="25"/>
      <c r="BP53" s="31"/>
      <c r="BQ53" s="31"/>
      <c r="BR53" s="41">
        <f>BP53-BO53</f>
        <v>0</v>
      </c>
      <c r="BS53" s="17">
        <f t="shared" ref="BS53:BU56" si="128">BG53+BK53+BO53</f>
        <v>0</v>
      </c>
      <c r="BT53" s="18">
        <f t="shared" si="128"/>
        <v>0</v>
      </c>
      <c r="BU53" s="18">
        <f t="shared" si="128"/>
        <v>0</v>
      </c>
      <c r="BV53" s="20">
        <f>BT53-BS53</f>
        <v>0</v>
      </c>
      <c r="BW53" s="17">
        <f t="shared" ref="BW53:BY56" si="129">BS53+AY53</f>
        <v>0</v>
      </c>
      <c r="BX53" s="18">
        <f t="shared" si="129"/>
        <v>0</v>
      </c>
      <c r="BY53" s="18">
        <f t="shared" si="129"/>
        <v>0</v>
      </c>
      <c r="BZ53" s="20">
        <f>BX53-BW53</f>
        <v>0</v>
      </c>
      <c r="CA53" s="17">
        <f>BW53+AI53</f>
        <v>50000</v>
      </c>
      <c r="CB53" s="18">
        <f>BX53+AJ53</f>
        <v>196400</v>
      </c>
      <c r="CC53" s="18">
        <f>BY53+AK53</f>
        <v>196400</v>
      </c>
      <c r="CD53" s="20">
        <f>CB53-CA53</f>
        <v>146400</v>
      </c>
      <c r="CH53" s="3"/>
      <c r="CJ53" s="91">
        <f t="shared" ref="CJ53:CM55" si="130">BG53+BK53+BO53</f>
        <v>0</v>
      </c>
      <c r="CK53" s="91">
        <f t="shared" si="130"/>
        <v>0</v>
      </c>
      <c r="CL53" s="91">
        <f t="shared" si="130"/>
        <v>0</v>
      </c>
      <c r="CM53" s="91">
        <f t="shared" si="130"/>
        <v>0</v>
      </c>
      <c r="CN53" s="91">
        <f t="shared" si="86"/>
        <v>50000</v>
      </c>
      <c r="CO53" s="91">
        <f t="shared" si="86"/>
        <v>196400</v>
      </c>
      <c r="CP53" s="91">
        <f t="shared" si="86"/>
        <v>196400</v>
      </c>
      <c r="CQ53" s="91">
        <f t="shared" si="86"/>
        <v>146400</v>
      </c>
    </row>
    <row r="54" spans="1:95" ht="16.5" hidden="1" outlineLevel="1" x14ac:dyDescent="0.3">
      <c r="A54" s="9"/>
      <c r="B54" s="28" t="s">
        <v>64</v>
      </c>
      <c r="C54" s="168"/>
      <c r="D54" s="18">
        <v>22071</v>
      </c>
      <c r="E54" s="43">
        <v>22071</v>
      </c>
      <c r="F54" s="170">
        <f>D54-C54</f>
        <v>22071</v>
      </c>
      <c r="G54" s="83">
        <v>12500</v>
      </c>
      <c r="H54" s="18">
        <v>4763.96</v>
      </c>
      <c r="I54" s="18">
        <f>3053+1710.96</f>
        <v>4763.96</v>
      </c>
      <c r="J54" s="19">
        <f>H54-G54</f>
        <v>-7736.04</v>
      </c>
      <c r="K54" s="17">
        <v>12500</v>
      </c>
      <c r="L54" s="18">
        <v>7627.17</v>
      </c>
      <c r="M54" s="43">
        <v>7627.17</v>
      </c>
      <c r="N54" s="19">
        <f t="shared" si="80"/>
        <v>-4872.83</v>
      </c>
      <c r="O54" s="17">
        <f>C54+G54+K54</f>
        <v>25000</v>
      </c>
      <c r="P54" s="43">
        <f t="shared" si="123"/>
        <v>34462.130000000005</v>
      </c>
      <c r="Q54" s="43">
        <f t="shared" si="123"/>
        <v>34462.130000000005</v>
      </c>
      <c r="R54" s="19">
        <f>P54-O54</f>
        <v>9462.1300000000047</v>
      </c>
      <c r="S54" s="17"/>
      <c r="T54" s="18"/>
      <c r="U54" s="18"/>
      <c r="V54" s="19">
        <f>T54-S54</f>
        <v>0</v>
      </c>
      <c r="W54" s="17"/>
      <c r="X54" s="18"/>
      <c r="Y54" s="19"/>
      <c r="Z54" s="18">
        <f>X54-W54</f>
        <v>0</v>
      </c>
      <c r="AA54" s="83"/>
      <c r="AB54" s="18">
        <v>18148.89</v>
      </c>
      <c r="AC54" s="18">
        <f>18073.84+75.05</f>
        <v>18148.89</v>
      </c>
      <c r="AD54" s="19">
        <f>AB54-AA54</f>
        <v>18148.89</v>
      </c>
      <c r="AE54" s="17">
        <f t="shared" si="124"/>
        <v>0</v>
      </c>
      <c r="AF54" s="18">
        <f t="shared" si="124"/>
        <v>18148.89</v>
      </c>
      <c r="AG54" s="18">
        <f t="shared" si="124"/>
        <v>18148.89</v>
      </c>
      <c r="AH54" s="19">
        <f>AF54-AE54</f>
        <v>18148.89</v>
      </c>
      <c r="AI54" s="17">
        <f t="shared" si="125"/>
        <v>25000</v>
      </c>
      <c r="AJ54" s="18">
        <f t="shared" si="125"/>
        <v>52611.020000000004</v>
      </c>
      <c r="AK54" s="18">
        <f t="shared" si="125"/>
        <v>52611.020000000004</v>
      </c>
      <c r="AL54" s="19">
        <f>AJ54-AI54</f>
        <v>27611.020000000004</v>
      </c>
      <c r="AM54" s="17"/>
      <c r="AN54" s="18"/>
      <c r="AO54" s="18"/>
      <c r="AP54" s="20">
        <f>AN54-AM54</f>
        <v>0</v>
      </c>
      <c r="AQ54" s="17"/>
      <c r="AR54" s="18">
        <v>3888.98</v>
      </c>
      <c r="AS54" s="18">
        <v>3888.98</v>
      </c>
      <c r="AT54" s="20">
        <f>AR54-AQ54</f>
        <v>3888.98</v>
      </c>
      <c r="AU54" s="17"/>
      <c r="AV54" s="18">
        <v>4073.2</v>
      </c>
      <c r="AW54" s="43">
        <v>4073.2</v>
      </c>
      <c r="AX54" s="20">
        <f>AV54-AU54</f>
        <v>4073.2</v>
      </c>
      <c r="AY54" s="17">
        <f t="shared" si="126"/>
        <v>0</v>
      </c>
      <c r="AZ54" s="18">
        <f t="shared" si="126"/>
        <v>7962.18</v>
      </c>
      <c r="BA54" s="18">
        <f t="shared" si="126"/>
        <v>7962.18</v>
      </c>
      <c r="BB54" s="19">
        <f>AZ54-AY54</f>
        <v>7962.18</v>
      </c>
      <c r="BC54" s="190">
        <f t="shared" si="127"/>
        <v>25000</v>
      </c>
      <c r="BD54" s="84">
        <f t="shared" si="127"/>
        <v>60573.200000000004</v>
      </c>
      <c r="BE54" s="84">
        <f t="shared" si="127"/>
        <v>60573.200000000004</v>
      </c>
      <c r="BF54" s="170">
        <f>BD54-BC54</f>
        <v>35573.200000000004</v>
      </c>
      <c r="BG54" s="83"/>
      <c r="BH54" s="18">
        <v>10926.8</v>
      </c>
      <c r="BI54" s="18">
        <v>10926.8</v>
      </c>
      <c r="BJ54" s="41">
        <f>BH54-BG54</f>
        <v>10926.8</v>
      </c>
      <c r="BK54" s="17"/>
      <c r="BL54" s="18"/>
      <c r="BM54" s="18"/>
      <c r="BN54" s="41">
        <f>BL54-BK54</f>
        <v>0</v>
      </c>
      <c r="BO54" s="17"/>
      <c r="BP54" s="18"/>
      <c r="BQ54" s="18"/>
      <c r="BR54" s="41">
        <f>BP54-BO54</f>
        <v>0</v>
      </c>
      <c r="BS54" s="17">
        <f t="shared" si="128"/>
        <v>0</v>
      </c>
      <c r="BT54" s="18">
        <f t="shared" si="128"/>
        <v>10926.8</v>
      </c>
      <c r="BU54" s="18">
        <f t="shared" si="128"/>
        <v>10926.8</v>
      </c>
      <c r="BV54" s="20">
        <f>BT54-BS54</f>
        <v>10926.8</v>
      </c>
      <c r="BW54" s="17">
        <f t="shared" si="129"/>
        <v>0</v>
      </c>
      <c r="BX54" s="18">
        <f t="shared" si="129"/>
        <v>18888.98</v>
      </c>
      <c r="BY54" s="18">
        <f t="shared" si="129"/>
        <v>18888.98</v>
      </c>
      <c r="BZ54" s="20">
        <f>BX54-BW54</f>
        <v>18888.98</v>
      </c>
      <c r="CA54" s="17">
        <f t="shared" ref="CA54:CB56" si="131">BW54+AI54</f>
        <v>25000</v>
      </c>
      <c r="CB54" s="18">
        <f t="shared" si="131"/>
        <v>71500</v>
      </c>
      <c r="CC54" s="18">
        <f>BY54+AK54</f>
        <v>71500</v>
      </c>
      <c r="CD54" s="20">
        <f t="shared" ref="CD54:CD56" si="132">CB54-CA54</f>
        <v>46500</v>
      </c>
      <c r="CH54" s="3"/>
      <c r="CJ54" s="91">
        <f t="shared" si="130"/>
        <v>0</v>
      </c>
      <c r="CK54" s="91">
        <f t="shared" si="130"/>
        <v>10926.8</v>
      </c>
      <c r="CL54" s="91">
        <f t="shared" si="130"/>
        <v>10926.8</v>
      </c>
      <c r="CM54" s="91">
        <f t="shared" si="130"/>
        <v>10926.8</v>
      </c>
      <c r="CN54" s="91">
        <f t="shared" si="86"/>
        <v>25000</v>
      </c>
      <c r="CO54" s="91">
        <f t="shared" si="86"/>
        <v>71500</v>
      </c>
      <c r="CP54" s="91">
        <f t="shared" si="86"/>
        <v>71500</v>
      </c>
      <c r="CQ54" s="91">
        <f t="shared" si="86"/>
        <v>46500</v>
      </c>
    </row>
    <row r="55" spans="1:95" ht="16.5" hidden="1" outlineLevel="1" x14ac:dyDescent="0.3">
      <c r="A55" s="9"/>
      <c r="B55" s="28" t="s">
        <v>65</v>
      </c>
      <c r="C55" s="174"/>
      <c r="D55" s="18"/>
      <c r="E55" s="43"/>
      <c r="F55" s="170">
        <f>D55-C55</f>
        <v>0</v>
      </c>
      <c r="G55" s="83"/>
      <c r="H55" s="18">
        <v>4300</v>
      </c>
      <c r="I55" s="18">
        <v>4300</v>
      </c>
      <c r="J55" s="19">
        <f>H55-G55</f>
        <v>4300</v>
      </c>
      <c r="K55" s="17"/>
      <c r="L55" s="18"/>
      <c r="M55" s="43"/>
      <c r="N55" s="19">
        <f t="shared" si="80"/>
        <v>0</v>
      </c>
      <c r="O55" s="17">
        <f>C55+G55+K55</f>
        <v>0</v>
      </c>
      <c r="P55" s="43">
        <f t="shared" si="123"/>
        <v>4300</v>
      </c>
      <c r="Q55" s="43">
        <f t="shared" si="123"/>
        <v>4300</v>
      </c>
      <c r="R55" s="19">
        <f>P55-O55</f>
        <v>4300</v>
      </c>
      <c r="S55" s="17"/>
      <c r="T55" s="18"/>
      <c r="U55" s="18"/>
      <c r="V55" s="19">
        <f>T55-S55</f>
        <v>0</v>
      </c>
      <c r="W55" s="17"/>
      <c r="X55" s="18"/>
      <c r="Y55" s="19"/>
      <c r="Z55" s="18">
        <f>X55-W55</f>
        <v>0</v>
      </c>
      <c r="AA55" s="83"/>
      <c r="AB55" s="18"/>
      <c r="AC55" s="18"/>
      <c r="AD55" s="19">
        <f>AB55-AA55</f>
        <v>0</v>
      </c>
      <c r="AE55" s="17">
        <f t="shared" si="124"/>
        <v>0</v>
      </c>
      <c r="AF55" s="18">
        <f t="shared" si="124"/>
        <v>0</v>
      </c>
      <c r="AG55" s="18">
        <f t="shared" si="124"/>
        <v>0</v>
      </c>
      <c r="AH55" s="19">
        <f>AF55-AE55</f>
        <v>0</v>
      </c>
      <c r="AI55" s="17">
        <f t="shared" si="125"/>
        <v>0</v>
      </c>
      <c r="AJ55" s="18">
        <f t="shared" si="125"/>
        <v>4300</v>
      </c>
      <c r="AK55" s="18">
        <f t="shared" si="125"/>
        <v>4300</v>
      </c>
      <c r="AL55" s="19">
        <f>AJ55-AI55</f>
        <v>4300</v>
      </c>
      <c r="AM55" s="17">
        <v>12500</v>
      </c>
      <c r="AN55" s="18"/>
      <c r="AO55" s="18"/>
      <c r="AP55" s="20">
        <f>AN55-AM55</f>
        <v>-12500</v>
      </c>
      <c r="AQ55" s="17">
        <v>12500</v>
      </c>
      <c r="AR55" s="18"/>
      <c r="AS55" s="18"/>
      <c r="AT55" s="20">
        <f>AR55-AQ55</f>
        <v>-12500</v>
      </c>
      <c r="AU55" s="17">
        <v>12500</v>
      </c>
      <c r="AV55" s="18"/>
      <c r="AW55" s="43"/>
      <c r="AX55" s="20">
        <f>AV55-AU55</f>
        <v>-12500</v>
      </c>
      <c r="AY55" s="17">
        <f t="shared" si="126"/>
        <v>37500</v>
      </c>
      <c r="AZ55" s="18">
        <f t="shared" si="126"/>
        <v>0</v>
      </c>
      <c r="BA55" s="18">
        <f t="shared" si="126"/>
        <v>0</v>
      </c>
      <c r="BB55" s="19">
        <f>AZ55-AY55</f>
        <v>-37500</v>
      </c>
      <c r="BC55" s="190">
        <f t="shared" si="127"/>
        <v>37500</v>
      </c>
      <c r="BD55" s="84">
        <f t="shared" si="127"/>
        <v>4300</v>
      </c>
      <c r="BE55" s="84">
        <f t="shared" si="127"/>
        <v>4300</v>
      </c>
      <c r="BF55" s="170">
        <f>BD55-BC55</f>
        <v>-33200</v>
      </c>
      <c r="BG55" s="83">
        <v>12500</v>
      </c>
      <c r="BH55" s="18"/>
      <c r="BI55" s="18"/>
      <c r="BJ55" s="41">
        <f>BH55-BG55</f>
        <v>-12500</v>
      </c>
      <c r="BK55" s="17">
        <v>12500</v>
      </c>
      <c r="BL55" s="18"/>
      <c r="BM55" s="18"/>
      <c r="BN55" s="41">
        <f>BL55-BK55</f>
        <v>-12500</v>
      </c>
      <c r="BO55" s="17">
        <v>12500</v>
      </c>
      <c r="BP55" s="18"/>
      <c r="BQ55" s="18"/>
      <c r="BR55" s="41">
        <f>BP55-BO55</f>
        <v>-12500</v>
      </c>
      <c r="BS55" s="17">
        <f t="shared" si="128"/>
        <v>37500</v>
      </c>
      <c r="BT55" s="18">
        <f t="shared" si="128"/>
        <v>0</v>
      </c>
      <c r="BU55" s="18">
        <f t="shared" si="128"/>
        <v>0</v>
      </c>
      <c r="BV55" s="20">
        <f>BT55-BS55</f>
        <v>-37500</v>
      </c>
      <c r="BW55" s="17">
        <f t="shared" si="129"/>
        <v>75000</v>
      </c>
      <c r="BX55" s="18">
        <f t="shared" si="129"/>
        <v>0</v>
      </c>
      <c r="BY55" s="18">
        <f t="shared" si="129"/>
        <v>0</v>
      </c>
      <c r="BZ55" s="20">
        <f>BX55-BW55</f>
        <v>-75000</v>
      </c>
      <c r="CA55" s="17">
        <f t="shared" si="131"/>
        <v>75000</v>
      </c>
      <c r="CB55" s="18">
        <f t="shared" si="131"/>
        <v>4300</v>
      </c>
      <c r="CC55" s="18">
        <f>BY55+AK55</f>
        <v>4300</v>
      </c>
      <c r="CD55" s="20">
        <f t="shared" si="132"/>
        <v>-70700</v>
      </c>
      <c r="CH55" s="3"/>
      <c r="CJ55" s="91">
        <f t="shared" si="130"/>
        <v>37500</v>
      </c>
      <c r="CK55" s="91">
        <f t="shared" si="130"/>
        <v>0</v>
      </c>
      <c r="CL55" s="91">
        <f t="shared" si="130"/>
        <v>0</v>
      </c>
      <c r="CM55" s="91">
        <f t="shared" si="130"/>
        <v>-37500</v>
      </c>
      <c r="CN55" s="91">
        <f t="shared" si="86"/>
        <v>75000</v>
      </c>
      <c r="CO55" s="91">
        <f t="shared" si="86"/>
        <v>4300</v>
      </c>
      <c r="CP55" s="91">
        <f t="shared" si="86"/>
        <v>4300</v>
      </c>
      <c r="CQ55" s="91">
        <f t="shared" si="86"/>
        <v>-70700</v>
      </c>
    </row>
    <row r="56" spans="1:95" ht="22.5" customHeight="1" collapsed="1" x14ac:dyDescent="0.3">
      <c r="A56" s="9">
        <v>6.7</v>
      </c>
      <c r="B56" s="123" t="s">
        <v>66</v>
      </c>
      <c r="C56" s="174">
        <v>50000</v>
      </c>
      <c r="D56" s="31">
        <f>2794+1735.3</f>
        <v>4529.3</v>
      </c>
      <c r="E56" s="95">
        <f>2794+1735.3</f>
        <v>4529.3</v>
      </c>
      <c r="F56" s="170">
        <f>D56-C56</f>
        <v>-45470.7</v>
      </c>
      <c r="G56" s="83">
        <v>50000</v>
      </c>
      <c r="H56" s="31">
        <f>6640</f>
        <v>6640</v>
      </c>
      <c r="I56" s="95">
        <f>6640-1710.96</f>
        <v>4929.04</v>
      </c>
      <c r="J56" s="19">
        <f>H56-G56</f>
        <v>-43360</v>
      </c>
      <c r="K56" s="17">
        <v>70000</v>
      </c>
      <c r="L56" s="31">
        <f>13784+593+1004.4+12422.5</f>
        <v>27803.9</v>
      </c>
      <c r="M56" s="95">
        <f>300000+9382.21+13730+6169.06+7323.4+12422.5-14250-136088-7627.17+72694.78</f>
        <v>263756.78000000003</v>
      </c>
      <c r="N56" s="19">
        <f t="shared" si="80"/>
        <v>-42196.1</v>
      </c>
      <c r="O56" s="95">
        <f t="shared" ref="O56" si="133">K56+G56+C56</f>
        <v>170000</v>
      </c>
      <c r="P56" s="95">
        <f t="shared" si="123"/>
        <v>38973.200000000004</v>
      </c>
      <c r="Q56" s="95">
        <f t="shared" si="123"/>
        <v>273215.12</v>
      </c>
      <c r="R56" s="30">
        <f>P56-O56</f>
        <v>-131026.79999999999</v>
      </c>
      <c r="S56" s="25">
        <v>50000</v>
      </c>
      <c r="T56" s="25">
        <f>9382.21+6180+2102.34</f>
        <v>17664.55</v>
      </c>
      <c r="U56" s="25">
        <f>43700+2102.34</f>
        <v>45802.34</v>
      </c>
      <c r="V56" s="30">
        <f>T56-S56</f>
        <v>-32335.45</v>
      </c>
      <c r="W56" s="25">
        <v>50000</v>
      </c>
      <c r="X56" s="25">
        <v>30200</v>
      </c>
      <c r="Y56" s="88"/>
      <c r="Z56" s="31">
        <f>X56-W56</f>
        <v>-19800</v>
      </c>
      <c r="AA56" s="89">
        <v>50000</v>
      </c>
      <c r="AB56" s="25">
        <f>22634.6+4876.59+32490.8-16500+70226</f>
        <v>113727.98999999999</v>
      </c>
      <c r="AC56" s="25">
        <f>8400+30000+37367.39+22634.6-16500-75.05-18073.84</f>
        <v>63753.099999999991</v>
      </c>
      <c r="AD56" s="30">
        <f>AB56-AA56</f>
        <v>63727.989999999991</v>
      </c>
      <c r="AE56" s="25">
        <f t="shared" si="124"/>
        <v>150000</v>
      </c>
      <c r="AF56" s="31">
        <f t="shared" si="124"/>
        <v>161592.53999999998</v>
      </c>
      <c r="AG56" s="31">
        <f t="shared" si="124"/>
        <v>109555.43999999999</v>
      </c>
      <c r="AH56" s="30">
        <f>AF56-AE56</f>
        <v>11592.539999999979</v>
      </c>
      <c r="AI56" s="25">
        <f t="shared" si="125"/>
        <v>320000</v>
      </c>
      <c r="AJ56" s="31">
        <f t="shared" si="125"/>
        <v>200565.74</v>
      </c>
      <c r="AK56" s="31">
        <f t="shared" si="125"/>
        <v>382770.56</v>
      </c>
      <c r="AL56" s="30">
        <f>AJ56-AI56</f>
        <v>-119434.26000000001</v>
      </c>
      <c r="AM56" s="25">
        <v>50000</v>
      </c>
      <c r="AN56" s="25">
        <f>25061.7+33000+6121.9+34500+2485.2+3220+13954.6-11034</f>
        <v>107309.40000000001</v>
      </c>
      <c r="AO56" s="25">
        <f>50000+67500+2485.2+34200+25061.7+7641.29+3220+13954.6-11034-106532</f>
        <v>86496.790000000037</v>
      </c>
      <c r="AP56" s="32">
        <f>AN56-AM56</f>
        <v>57309.400000000009</v>
      </c>
      <c r="AQ56" s="25">
        <v>50000</v>
      </c>
      <c r="AR56" s="25">
        <f>961.56+1520+34200+20163+5000</f>
        <v>61844.56</v>
      </c>
      <c r="AS56" s="25">
        <f>1995+7882.15+1835.8+34125.5+5000+900-3888.98</f>
        <v>47849.469999999994</v>
      </c>
      <c r="AT56" s="32">
        <f>AR56-AQ56</f>
        <v>11844.559999999998</v>
      </c>
      <c r="AU56" s="25">
        <v>50000</v>
      </c>
      <c r="AV56" s="25">
        <f>7532.7+7228.76+2783.1+3264+91000</f>
        <v>111808.56</v>
      </c>
      <c r="AW56" s="90">
        <f>100000+13275.86+7532.7-4073.2</f>
        <v>116735.36</v>
      </c>
      <c r="AX56" s="32">
        <f>AV56-AU56</f>
        <v>61808.56</v>
      </c>
      <c r="AY56" s="25">
        <f t="shared" si="126"/>
        <v>150000</v>
      </c>
      <c r="AZ56" s="31">
        <f t="shared" si="126"/>
        <v>280962.52</v>
      </c>
      <c r="BA56" s="31">
        <f t="shared" si="126"/>
        <v>251081.62000000005</v>
      </c>
      <c r="BB56" s="30">
        <f>AZ56-AY56</f>
        <v>130962.52000000002</v>
      </c>
      <c r="BC56" s="191">
        <f t="shared" si="127"/>
        <v>470000</v>
      </c>
      <c r="BD56" s="96">
        <f t="shared" si="127"/>
        <v>481528.26</v>
      </c>
      <c r="BE56" s="96">
        <f t="shared" si="127"/>
        <v>633852.18000000005</v>
      </c>
      <c r="BF56" s="178">
        <f>BD56-BC56</f>
        <v>11528.260000000009</v>
      </c>
      <c r="BG56" s="89">
        <v>67650</v>
      </c>
      <c r="BH56" s="25">
        <f>4900+14671+23584+20591.29+8505.5+177766+76352</f>
        <v>326369.79000000004</v>
      </c>
      <c r="BI56" s="25">
        <f>222110+30000+73357+34271.79+4900-10926.8</f>
        <v>353711.99</v>
      </c>
      <c r="BJ56" s="27">
        <f>BH56-BG56</f>
        <v>258719.79000000004</v>
      </c>
      <c r="BK56" s="25"/>
      <c r="BL56" s="25">
        <f>249600+133023+40800+51000</f>
        <v>474423</v>
      </c>
      <c r="BM56" s="25">
        <f>201557+69600+223760+8903.34+11860.65</f>
        <v>515680.99000000005</v>
      </c>
      <c r="BN56" s="27">
        <f>BL56-BK56</f>
        <v>474423</v>
      </c>
      <c r="BO56" s="25">
        <f>BO58+BO59+BO60+BO61+BO62+BO63</f>
        <v>0</v>
      </c>
      <c r="BP56" s="25">
        <f>17048.38+3580.28+2277+4253+34686.9+83940+1321.86+10757.96+40014+15000.52-8640</f>
        <v>204239.89999999997</v>
      </c>
      <c r="BQ56" s="25">
        <f>40014+10757.96+15000.52+5574.86+40544.18+17048.38</f>
        <v>128939.9</v>
      </c>
      <c r="BR56" s="41">
        <f>BP56-BO56</f>
        <v>204239.89999999997</v>
      </c>
      <c r="BS56" s="17">
        <f t="shared" si="128"/>
        <v>67650</v>
      </c>
      <c r="BT56" s="18">
        <f t="shared" si="128"/>
        <v>1005032.69</v>
      </c>
      <c r="BU56" s="18">
        <f t="shared" si="128"/>
        <v>998332.88</v>
      </c>
      <c r="BV56" s="20">
        <f>BT56-BS56</f>
        <v>937382.69</v>
      </c>
      <c r="BW56" s="17">
        <f t="shared" si="129"/>
        <v>217650</v>
      </c>
      <c r="BX56" s="18">
        <f t="shared" si="129"/>
        <v>1285995.21</v>
      </c>
      <c r="BY56" s="18">
        <f t="shared" si="129"/>
        <v>1249414.5</v>
      </c>
      <c r="BZ56" s="20">
        <f>BX56-BW56</f>
        <v>1068345.21</v>
      </c>
      <c r="CA56" s="25">
        <f t="shared" si="131"/>
        <v>537650</v>
      </c>
      <c r="CB56" s="31">
        <f t="shared" si="131"/>
        <v>1486560.95</v>
      </c>
      <c r="CC56" s="31">
        <f>BY56+AK56</f>
        <v>1632185.06</v>
      </c>
      <c r="CD56" s="32">
        <f t="shared" si="132"/>
        <v>948910.95</v>
      </c>
      <c r="CH56" s="3"/>
      <c r="CJ56" s="209">
        <f>SUM(CJ57:CJ63)</f>
        <v>0</v>
      </c>
      <c r="CK56" s="209">
        <f>SUM(CK57:CK63)</f>
        <v>0</v>
      </c>
      <c r="CL56" s="209">
        <f>SUM(CL57:CL63)</f>
        <v>0</v>
      </c>
      <c r="CM56" s="209">
        <f>SUM(CM57:CM63)</f>
        <v>0</v>
      </c>
      <c r="CN56" s="209">
        <f t="shared" si="86"/>
        <v>470000</v>
      </c>
      <c r="CO56" s="209">
        <f t="shared" si="86"/>
        <v>481528.26</v>
      </c>
      <c r="CP56" s="209">
        <f t="shared" si="86"/>
        <v>633852.18000000005</v>
      </c>
      <c r="CQ56" s="209">
        <f t="shared" si="86"/>
        <v>11528.260000000009</v>
      </c>
    </row>
    <row r="57" spans="1:95" ht="22.5" hidden="1" customHeight="1" x14ac:dyDescent="0.3">
      <c r="A57" s="9"/>
      <c r="B57" s="205" t="s">
        <v>153</v>
      </c>
      <c r="C57" s="174"/>
      <c r="D57" s="31"/>
      <c r="E57" s="95"/>
      <c r="F57" s="170"/>
      <c r="G57" s="83"/>
      <c r="H57" s="31"/>
      <c r="I57" s="95"/>
      <c r="J57" s="19">
        <f>H57-G57</f>
        <v>0</v>
      </c>
      <c r="K57" s="17"/>
      <c r="L57" s="31"/>
      <c r="M57" s="95"/>
      <c r="N57" s="19"/>
      <c r="O57" s="25"/>
      <c r="P57" s="95"/>
      <c r="Q57" s="95"/>
      <c r="R57" s="19"/>
      <c r="S57" s="25"/>
      <c r="T57" s="25"/>
      <c r="U57" s="25"/>
      <c r="V57" s="30"/>
      <c r="W57" s="25"/>
      <c r="X57" s="25"/>
      <c r="Y57" s="88"/>
      <c r="Z57" s="31"/>
      <c r="AA57" s="89"/>
      <c r="AB57" s="25"/>
      <c r="AC57" s="25"/>
      <c r="AD57" s="30"/>
      <c r="AE57" s="25"/>
      <c r="AF57" s="31"/>
      <c r="AG57" s="31"/>
      <c r="AH57" s="30"/>
      <c r="AI57" s="25"/>
      <c r="AJ57" s="31"/>
      <c r="AK57" s="31"/>
      <c r="AL57" s="30"/>
      <c r="AM57" s="25"/>
      <c r="AN57" s="25"/>
      <c r="AO57" s="25"/>
      <c r="AP57" s="32"/>
      <c r="AQ57" s="25"/>
      <c r="AR57" s="25"/>
      <c r="AS57" s="25"/>
      <c r="AT57" s="32"/>
      <c r="AU57" s="25"/>
      <c r="AV57" s="25"/>
      <c r="AW57" s="90"/>
      <c r="AX57" s="32"/>
      <c r="AY57" s="25"/>
      <c r="AZ57" s="31"/>
      <c r="BA57" s="31"/>
      <c r="BB57" s="30"/>
      <c r="BC57" s="191"/>
      <c r="BD57" s="96"/>
      <c r="BE57" s="96"/>
      <c r="BF57" s="178"/>
      <c r="BG57" s="89"/>
      <c r="BH57" s="25"/>
      <c r="BI57" s="25"/>
      <c r="BJ57" s="27"/>
      <c r="BK57" s="25"/>
      <c r="BL57" s="25"/>
      <c r="BM57" s="25"/>
      <c r="BN57" s="27"/>
      <c r="BO57" s="25"/>
      <c r="BP57" s="25"/>
      <c r="BQ57" s="25"/>
      <c r="BR57" s="41"/>
      <c r="BS57" s="17"/>
      <c r="BT57" s="18"/>
      <c r="BU57" s="18"/>
      <c r="BV57" s="20"/>
      <c r="BW57" s="17"/>
      <c r="BX57" s="18"/>
      <c r="BY57" s="18"/>
      <c r="BZ57" s="20"/>
      <c r="CA57" s="17"/>
      <c r="CB57" s="18"/>
      <c r="CC57" s="18"/>
      <c r="CD57" s="20"/>
      <c r="CH57" s="3"/>
      <c r="CJ57" s="91">
        <f t="shared" ref="CJ57:CM63" si="134">BG57+BK57+BO57</f>
        <v>0</v>
      </c>
      <c r="CK57" s="91">
        <f t="shared" si="134"/>
        <v>0</v>
      </c>
      <c r="CL57" s="91">
        <f t="shared" si="134"/>
        <v>0</v>
      </c>
      <c r="CM57" s="91">
        <f t="shared" si="134"/>
        <v>0</v>
      </c>
      <c r="CN57" s="91">
        <f t="shared" si="86"/>
        <v>0</v>
      </c>
      <c r="CO57" s="91">
        <f t="shared" si="86"/>
        <v>0</v>
      </c>
      <c r="CP57" s="91">
        <f t="shared" si="86"/>
        <v>0</v>
      </c>
      <c r="CQ57" s="91">
        <f t="shared" si="86"/>
        <v>0</v>
      </c>
    </row>
    <row r="58" spans="1:95" ht="17.25" hidden="1" customHeight="1" outlineLevel="2" x14ac:dyDescent="0.3">
      <c r="A58" s="9"/>
      <c r="B58" s="28" t="s">
        <v>67</v>
      </c>
      <c r="C58" s="168"/>
      <c r="D58" s="18"/>
      <c r="E58" s="43"/>
      <c r="F58" s="170">
        <f t="shared" ref="F58:F63" si="135">D58-C58</f>
        <v>0</v>
      </c>
      <c r="G58" s="83"/>
      <c r="H58" s="119"/>
      <c r="I58" s="18"/>
      <c r="J58" s="19">
        <f t="shared" ref="J58:J63" si="136">H58-G58</f>
        <v>0</v>
      </c>
      <c r="K58" s="17"/>
      <c r="L58" s="119"/>
      <c r="M58" s="18"/>
      <c r="N58" s="19">
        <f t="shared" ref="N58:N63" si="137">L58-K58</f>
        <v>0</v>
      </c>
      <c r="O58" s="17">
        <f t="shared" ref="O58:O63" si="138">C58+G58+K58</f>
        <v>0</v>
      </c>
      <c r="P58" s="43">
        <f t="shared" ref="P58:Q63" si="139">L58+H58+D58</f>
        <v>0</v>
      </c>
      <c r="Q58" s="43">
        <f t="shared" si="139"/>
        <v>0</v>
      </c>
      <c r="R58" s="19">
        <f t="shared" ref="R58:R63" si="140">P58-O58</f>
        <v>0</v>
      </c>
      <c r="S58" s="17"/>
      <c r="T58" s="119"/>
      <c r="U58" s="18"/>
      <c r="V58" s="19">
        <f t="shared" ref="V58:V63" si="141">T58-S58</f>
        <v>0</v>
      </c>
      <c r="W58" s="17"/>
      <c r="X58" s="119"/>
      <c r="Y58" s="19"/>
      <c r="Z58" s="18">
        <f t="shared" ref="Z58:Z63" si="142">X58-W58</f>
        <v>0</v>
      </c>
      <c r="AA58" s="83"/>
      <c r="AB58" s="119"/>
      <c r="AC58" s="18"/>
      <c r="AD58" s="19">
        <f t="shared" ref="AD58:AD63" si="143">AB58-AA58</f>
        <v>0</v>
      </c>
      <c r="AE58" s="17">
        <f t="shared" ref="AE58:AG63" si="144">S58+W58+AA58</f>
        <v>0</v>
      </c>
      <c r="AF58" s="18">
        <f t="shared" si="144"/>
        <v>0</v>
      </c>
      <c r="AG58" s="18">
        <f t="shared" si="144"/>
        <v>0</v>
      </c>
      <c r="AH58" s="19">
        <f t="shared" ref="AH58:AH63" si="145">AF58-AE58</f>
        <v>0</v>
      </c>
      <c r="AI58" s="17">
        <f t="shared" ref="AI58:AK63" si="146">AE58+O58</f>
        <v>0</v>
      </c>
      <c r="AJ58" s="18">
        <f t="shared" si="146"/>
        <v>0</v>
      </c>
      <c r="AK58" s="18">
        <f t="shared" si="146"/>
        <v>0</v>
      </c>
      <c r="AL58" s="19">
        <f t="shared" ref="AL58:AL63" si="147">AJ58-AI58</f>
        <v>0</v>
      </c>
      <c r="AM58" s="17"/>
      <c r="AN58" s="119"/>
      <c r="AO58" s="18"/>
      <c r="AP58" s="20">
        <f t="shared" ref="AP58:AP63" si="148">AN58-AM58</f>
        <v>0</v>
      </c>
      <c r="AQ58" s="17"/>
      <c r="AR58" s="119"/>
      <c r="AS58" s="18"/>
      <c r="AT58" s="20">
        <f t="shared" ref="AT58:AT63" si="149">AR58-AQ58</f>
        <v>0</v>
      </c>
      <c r="AU58" s="17"/>
      <c r="AV58" s="119"/>
      <c r="AW58" s="43"/>
      <c r="AX58" s="20">
        <f t="shared" ref="AX58:AX63" si="150">AV58-AU58</f>
        <v>0</v>
      </c>
      <c r="AY58" s="17">
        <f t="shared" ref="AY58:BA63" si="151">AM58+AQ58+AU58</f>
        <v>0</v>
      </c>
      <c r="AZ58" s="18">
        <f t="shared" si="151"/>
        <v>0</v>
      </c>
      <c r="BA58" s="18">
        <f t="shared" si="151"/>
        <v>0</v>
      </c>
      <c r="BB58" s="19">
        <f t="shared" ref="BB58:BB63" si="152">AZ58-AY58</f>
        <v>0</v>
      </c>
      <c r="BC58" s="190">
        <f t="shared" ref="BC58:BE63" si="153">(AI58+AY58)</f>
        <v>0</v>
      </c>
      <c r="BD58" s="84">
        <f t="shared" si="153"/>
        <v>0</v>
      </c>
      <c r="BE58" s="84">
        <f t="shared" si="153"/>
        <v>0</v>
      </c>
      <c r="BF58" s="170">
        <f t="shared" ref="BF58:BF63" si="154">BD58-BC58</f>
        <v>0</v>
      </c>
      <c r="BG58" s="83"/>
      <c r="BH58" s="119"/>
      <c r="BI58" s="18"/>
      <c r="BJ58" s="27">
        <f t="shared" ref="BJ58:BJ63" si="155">BH58-BG58</f>
        <v>0</v>
      </c>
      <c r="BK58" s="17"/>
      <c r="BL58" s="119"/>
      <c r="BM58" s="18"/>
      <c r="BN58" s="27">
        <f t="shared" ref="BN58:BN63" si="156">BL58-BK58</f>
        <v>0</v>
      </c>
      <c r="BO58" s="17"/>
      <c r="BP58" s="119"/>
      <c r="BQ58" s="18"/>
      <c r="BR58" s="41">
        <f t="shared" ref="BR58:BR63" si="157">BP58-BO58</f>
        <v>0</v>
      </c>
      <c r="BS58" s="17">
        <f t="shared" ref="BS58:BU63" si="158">BG58+BK58+BO58</f>
        <v>0</v>
      </c>
      <c r="BT58" s="18">
        <f t="shared" si="158"/>
        <v>0</v>
      </c>
      <c r="BU58" s="18">
        <f t="shared" si="158"/>
        <v>0</v>
      </c>
      <c r="BV58" s="20">
        <f t="shared" ref="BV58:BV63" si="159">BT58-BS58</f>
        <v>0</v>
      </c>
      <c r="BW58" s="17">
        <f t="shared" ref="BW58:BY63" si="160">BS58+AY58</f>
        <v>0</v>
      </c>
      <c r="BX58" s="18">
        <f t="shared" si="160"/>
        <v>0</v>
      </c>
      <c r="BY58" s="18">
        <f t="shared" si="160"/>
        <v>0</v>
      </c>
      <c r="BZ58" s="20">
        <f t="shared" ref="BZ58:BZ63" si="161">BX58-BW58</f>
        <v>0</v>
      </c>
      <c r="CA58" s="17">
        <f t="shared" ref="CA58:CC63" si="162">BW58+AI58</f>
        <v>0</v>
      </c>
      <c r="CB58" s="18">
        <f t="shared" si="162"/>
        <v>0</v>
      </c>
      <c r="CC58" s="18">
        <f t="shared" si="162"/>
        <v>0</v>
      </c>
      <c r="CD58" s="20">
        <f t="shared" ref="CD58:CD63" si="163">CB58-CA58</f>
        <v>0</v>
      </c>
      <c r="CH58" s="3"/>
      <c r="CJ58" s="91">
        <f t="shared" si="134"/>
        <v>0</v>
      </c>
      <c r="CK58" s="91">
        <f t="shared" si="134"/>
        <v>0</v>
      </c>
      <c r="CL58" s="91">
        <f t="shared" si="134"/>
        <v>0</v>
      </c>
      <c r="CM58" s="91">
        <f t="shared" si="134"/>
        <v>0</v>
      </c>
      <c r="CN58" s="91">
        <f t="shared" si="86"/>
        <v>0</v>
      </c>
      <c r="CO58" s="91">
        <f t="shared" si="86"/>
        <v>0</v>
      </c>
      <c r="CP58" s="91">
        <f t="shared" si="86"/>
        <v>0</v>
      </c>
      <c r="CQ58" s="91">
        <f t="shared" si="86"/>
        <v>0</v>
      </c>
    </row>
    <row r="59" spans="1:95" ht="22.5" hidden="1" customHeight="1" outlineLevel="2" x14ac:dyDescent="0.3">
      <c r="A59" s="9"/>
      <c r="B59" s="28" t="s">
        <v>68</v>
      </c>
      <c r="C59" s="168"/>
      <c r="D59" s="18"/>
      <c r="E59" s="43"/>
      <c r="F59" s="170">
        <f t="shared" si="135"/>
        <v>0</v>
      </c>
      <c r="G59" s="83"/>
      <c r="H59" s="119"/>
      <c r="I59" s="18"/>
      <c r="J59" s="19">
        <f t="shared" si="136"/>
        <v>0</v>
      </c>
      <c r="K59" s="17"/>
      <c r="L59" s="119"/>
      <c r="M59" s="18"/>
      <c r="N59" s="19">
        <f t="shared" si="137"/>
        <v>0</v>
      </c>
      <c r="O59" s="17">
        <f t="shared" si="138"/>
        <v>0</v>
      </c>
      <c r="P59" s="43">
        <f t="shared" si="139"/>
        <v>0</v>
      </c>
      <c r="Q59" s="43">
        <f t="shared" si="139"/>
        <v>0</v>
      </c>
      <c r="R59" s="19">
        <f t="shared" si="140"/>
        <v>0</v>
      </c>
      <c r="S59" s="17"/>
      <c r="T59" s="119"/>
      <c r="U59" s="18"/>
      <c r="V59" s="19">
        <f t="shared" si="141"/>
        <v>0</v>
      </c>
      <c r="W59" s="17"/>
      <c r="X59" s="119"/>
      <c r="Y59" s="19"/>
      <c r="Z59" s="18">
        <f t="shared" si="142"/>
        <v>0</v>
      </c>
      <c r="AA59" s="83"/>
      <c r="AB59" s="119"/>
      <c r="AC59" s="18"/>
      <c r="AD59" s="19">
        <f t="shared" si="143"/>
        <v>0</v>
      </c>
      <c r="AE59" s="17">
        <f t="shared" si="144"/>
        <v>0</v>
      </c>
      <c r="AF59" s="18">
        <f t="shared" si="144"/>
        <v>0</v>
      </c>
      <c r="AG59" s="18">
        <f t="shared" si="144"/>
        <v>0</v>
      </c>
      <c r="AH59" s="19">
        <f t="shared" si="145"/>
        <v>0</v>
      </c>
      <c r="AI59" s="17">
        <f t="shared" si="146"/>
        <v>0</v>
      </c>
      <c r="AJ59" s="18">
        <f t="shared" si="146"/>
        <v>0</v>
      </c>
      <c r="AK59" s="18">
        <f t="shared" si="146"/>
        <v>0</v>
      </c>
      <c r="AL59" s="19">
        <f t="shared" si="147"/>
        <v>0</v>
      </c>
      <c r="AM59" s="17"/>
      <c r="AN59" s="119"/>
      <c r="AO59" s="18"/>
      <c r="AP59" s="20">
        <f t="shared" si="148"/>
        <v>0</v>
      </c>
      <c r="AQ59" s="17"/>
      <c r="AR59" s="119"/>
      <c r="AS59" s="18"/>
      <c r="AT59" s="20">
        <f t="shared" si="149"/>
        <v>0</v>
      </c>
      <c r="AU59" s="17"/>
      <c r="AV59" s="119"/>
      <c r="AW59" s="43"/>
      <c r="AX59" s="20">
        <f t="shared" si="150"/>
        <v>0</v>
      </c>
      <c r="AY59" s="17">
        <f t="shared" si="151"/>
        <v>0</v>
      </c>
      <c r="AZ59" s="18">
        <f t="shared" si="151"/>
        <v>0</v>
      </c>
      <c r="BA59" s="18">
        <f t="shared" si="151"/>
        <v>0</v>
      </c>
      <c r="BB59" s="19">
        <f t="shared" si="152"/>
        <v>0</v>
      </c>
      <c r="BC59" s="190">
        <f t="shared" si="153"/>
        <v>0</v>
      </c>
      <c r="BD59" s="84">
        <f t="shared" si="153"/>
        <v>0</v>
      </c>
      <c r="BE59" s="84">
        <f t="shared" si="153"/>
        <v>0</v>
      </c>
      <c r="BF59" s="170">
        <f t="shared" si="154"/>
        <v>0</v>
      </c>
      <c r="BG59" s="83"/>
      <c r="BH59" s="119"/>
      <c r="BI59" s="18"/>
      <c r="BJ59" s="27">
        <f t="shared" si="155"/>
        <v>0</v>
      </c>
      <c r="BK59" s="17"/>
      <c r="BL59" s="119"/>
      <c r="BM59" s="18"/>
      <c r="BN59" s="27">
        <f t="shared" si="156"/>
        <v>0</v>
      </c>
      <c r="BO59" s="17"/>
      <c r="BP59" s="119"/>
      <c r="BQ59" s="18"/>
      <c r="BR59" s="41">
        <f t="shared" si="157"/>
        <v>0</v>
      </c>
      <c r="BS59" s="17">
        <f t="shared" si="158"/>
        <v>0</v>
      </c>
      <c r="BT59" s="18">
        <f t="shared" si="158"/>
        <v>0</v>
      </c>
      <c r="BU59" s="18">
        <f t="shared" si="158"/>
        <v>0</v>
      </c>
      <c r="BV59" s="20">
        <f t="shared" si="159"/>
        <v>0</v>
      </c>
      <c r="BW59" s="17">
        <f t="shared" si="160"/>
        <v>0</v>
      </c>
      <c r="BX59" s="18">
        <f t="shared" si="160"/>
        <v>0</v>
      </c>
      <c r="BY59" s="18">
        <f t="shared" si="160"/>
        <v>0</v>
      </c>
      <c r="BZ59" s="20">
        <f t="shared" si="161"/>
        <v>0</v>
      </c>
      <c r="CA59" s="17">
        <f t="shared" si="162"/>
        <v>0</v>
      </c>
      <c r="CB59" s="18">
        <f t="shared" si="162"/>
        <v>0</v>
      </c>
      <c r="CC59" s="18">
        <f t="shared" si="162"/>
        <v>0</v>
      </c>
      <c r="CD59" s="20">
        <f t="shared" si="163"/>
        <v>0</v>
      </c>
      <c r="CH59" s="3"/>
      <c r="CJ59" s="91">
        <f t="shared" si="134"/>
        <v>0</v>
      </c>
      <c r="CK59" s="91">
        <f t="shared" si="134"/>
        <v>0</v>
      </c>
      <c r="CL59" s="91">
        <f t="shared" si="134"/>
        <v>0</v>
      </c>
      <c r="CM59" s="91">
        <f t="shared" si="134"/>
        <v>0</v>
      </c>
      <c r="CN59" s="91">
        <f t="shared" si="86"/>
        <v>0</v>
      </c>
      <c r="CO59" s="91">
        <f t="shared" si="86"/>
        <v>0</v>
      </c>
      <c r="CP59" s="91">
        <f t="shared" si="86"/>
        <v>0</v>
      </c>
      <c r="CQ59" s="91">
        <f t="shared" si="86"/>
        <v>0</v>
      </c>
    </row>
    <row r="60" spans="1:95" ht="21" hidden="1" customHeight="1" outlineLevel="2" x14ac:dyDescent="0.3">
      <c r="A60" s="9"/>
      <c r="B60" s="28" t="s">
        <v>69</v>
      </c>
      <c r="C60" s="168"/>
      <c r="D60" s="18"/>
      <c r="E60" s="43"/>
      <c r="F60" s="170">
        <f t="shared" si="135"/>
        <v>0</v>
      </c>
      <c r="G60" s="83"/>
      <c r="H60" s="119"/>
      <c r="I60" s="18"/>
      <c r="J60" s="19">
        <f t="shared" si="136"/>
        <v>0</v>
      </c>
      <c r="K60" s="17"/>
      <c r="L60" s="119"/>
      <c r="M60" s="18"/>
      <c r="N60" s="19">
        <f t="shared" si="137"/>
        <v>0</v>
      </c>
      <c r="O60" s="17">
        <f t="shared" si="138"/>
        <v>0</v>
      </c>
      <c r="P60" s="43">
        <f t="shared" si="139"/>
        <v>0</v>
      </c>
      <c r="Q60" s="43">
        <f t="shared" si="139"/>
        <v>0</v>
      </c>
      <c r="R60" s="19">
        <f t="shared" si="140"/>
        <v>0</v>
      </c>
      <c r="S60" s="17"/>
      <c r="T60" s="119"/>
      <c r="U60" s="18"/>
      <c r="V60" s="19">
        <f t="shared" si="141"/>
        <v>0</v>
      </c>
      <c r="W60" s="17"/>
      <c r="X60" s="119"/>
      <c r="Y60" s="19"/>
      <c r="Z60" s="18">
        <f t="shared" si="142"/>
        <v>0</v>
      </c>
      <c r="AA60" s="83"/>
      <c r="AB60" s="119"/>
      <c r="AC60" s="18"/>
      <c r="AD60" s="19">
        <f t="shared" si="143"/>
        <v>0</v>
      </c>
      <c r="AE60" s="17">
        <f t="shared" si="144"/>
        <v>0</v>
      </c>
      <c r="AF60" s="18">
        <f t="shared" si="144"/>
        <v>0</v>
      </c>
      <c r="AG60" s="18">
        <f t="shared" si="144"/>
        <v>0</v>
      </c>
      <c r="AH60" s="19">
        <f t="shared" si="145"/>
        <v>0</v>
      </c>
      <c r="AI60" s="17">
        <f t="shared" si="146"/>
        <v>0</v>
      </c>
      <c r="AJ60" s="18">
        <f t="shared" si="146"/>
        <v>0</v>
      </c>
      <c r="AK60" s="18">
        <f t="shared" si="146"/>
        <v>0</v>
      </c>
      <c r="AL60" s="19">
        <f t="shared" si="147"/>
        <v>0</v>
      </c>
      <c r="AM60" s="17"/>
      <c r="AN60" s="119"/>
      <c r="AO60" s="18"/>
      <c r="AP60" s="20">
        <f t="shared" si="148"/>
        <v>0</v>
      </c>
      <c r="AQ60" s="17"/>
      <c r="AR60" s="119"/>
      <c r="AS60" s="18"/>
      <c r="AT60" s="20">
        <f t="shared" si="149"/>
        <v>0</v>
      </c>
      <c r="AU60" s="17"/>
      <c r="AV60" s="119"/>
      <c r="AW60" s="43"/>
      <c r="AX60" s="20">
        <f t="shared" si="150"/>
        <v>0</v>
      </c>
      <c r="AY60" s="17">
        <f t="shared" si="151"/>
        <v>0</v>
      </c>
      <c r="AZ60" s="18">
        <f t="shared" si="151"/>
        <v>0</v>
      </c>
      <c r="BA60" s="18">
        <f t="shared" si="151"/>
        <v>0</v>
      </c>
      <c r="BB60" s="19">
        <f t="shared" si="152"/>
        <v>0</v>
      </c>
      <c r="BC60" s="190">
        <f t="shared" si="153"/>
        <v>0</v>
      </c>
      <c r="BD60" s="84">
        <f t="shared" si="153"/>
        <v>0</v>
      </c>
      <c r="BE60" s="84">
        <f t="shared" si="153"/>
        <v>0</v>
      </c>
      <c r="BF60" s="170">
        <f t="shared" si="154"/>
        <v>0</v>
      </c>
      <c r="BG60" s="83"/>
      <c r="BH60" s="119"/>
      <c r="BI60" s="18"/>
      <c r="BJ60" s="27">
        <f t="shared" si="155"/>
        <v>0</v>
      </c>
      <c r="BK60" s="17"/>
      <c r="BL60" s="119"/>
      <c r="BM60" s="18"/>
      <c r="BN60" s="27">
        <f t="shared" si="156"/>
        <v>0</v>
      </c>
      <c r="BO60" s="17"/>
      <c r="BP60" s="119"/>
      <c r="BQ60" s="18"/>
      <c r="BR60" s="41">
        <f t="shared" si="157"/>
        <v>0</v>
      </c>
      <c r="BS60" s="17">
        <f t="shared" si="158"/>
        <v>0</v>
      </c>
      <c r="BT60" s="18">
        <f t="shared" si="158"/>
        <v>0</v>
      </c>
      <c r="BU60" s="18">
        <f t="shared" si="158"/>
        <v>0</v>
      </c>
      <c r="BV60" s="20">
        <f t="shared" si="159"/>
        <v>0</v>
      </c>
      <c r="BW60" s="17">
        <f t="shared" si="160"/>
        <v>0</v>
      </c>
      <c r="BX60" s="18">
        <f t="shared" si="160"/>
        <v>0</v>
      </c>
      <c r="BY60" s="18">
        <f t="shared" si="160"/>
        <v>0</v>
      </c>
      <c r="BZ60" s="20">
        <f t="shared" si="161"/>
        <v>0</v>
      </c>
      <c r="CA60" s="17">
        <f t="shared" si="162"/>
        <v>0</v>
      </c>
      <c r="CB60" s="18">
        <f t="shared" si="162"/>
        <v>0</v>
      </c>
      <c r="CC60" s="18">
        <f t="shared" si="162"/>
        <v>0</v>
      </c>
      <c r="CD60" s="20">
        <f t="shared" si="163"/>
        <v>0</v>
      </c>
      <c r="CH60" s="3"/>
      <c r="CJ60" s="91">
        <f t="shared" si="134"/>
        <v>0</v>
      </c>
      <c r="CK60" s="91">
        <f t="shared" si="134"/>
        <v>0</v>
      </c>
      <c r="CL60" s="91">
        <f t="shared" si="134"/>
        <v>0</v>
      </c>
      <c r="CM60" s="91">
        <f t="shared" si="134"/>
        <v>0</v>
      </c>
      <c r="CN60" s="91">
        <f t="shared" si="86"/>
        <v>0</v>
      </c>
      <c r="CO60" s="91">
        <f t="shared" si="86"/>
        <v>0</v>
      </c>
      <c r="CP60" s="91">
        <f t="shared" si="86"/>
        <v>0</v>
      </c>
      <c r="CQ60" s="91">
        <f t="shared" si="86"/>
        <v>0</v>
      </c>
    </row>
    <row r="61" spans="1:95" ht="17.25" hidden="1" customHeight="1" outlineLevel="2" x14ac:dyDescent="0.3">
      <c r="A61" s="9"/>
      <c r="B61" s="28" t="s">
        <v>70</v>
      </c>
      <c r="C61" s="168"/>
      <c r="D61" s="18"/>
      <c r="E61" s="43"/>
      <c r="F61" s="170">
        <f t="shared" si="135"/>
        <v>0</v>
      </c>
      <c r="G61" s="83"/>
      <c r="H61" s="119"/>
      <c r="I61" s="18"/>
      <c r="J61" s="19">
        <f t="shared" si="136"/>
        <v>0</v>
      </c>
      <c r="K61" s="17"/>
      <c r="L61" s="119"/>
      <c r="M61" s="18"/>
      <c r="N61" s="19">
        <f t="shared" si="137"/>
        <v>0</v>
      </c>
      <c r="O61" s="17">
        <f t="shared" si="138"/>
        <v>0</v>
      </c>
      <c r="P61" s="43">
        <f t="shared" si="139"/>
        <v>0</v>
      </c>
      <c r="Q61" s="43">
        <f t="shared" si="139"/>
        <v>0</v>
      </c>
      <c r="R61" s="19">
        <f t="shared" si="140"/>
        <v>0</v>
      </c>
      <c r="S61" s="17"/>
      <c r="T61" s="119"/>
      <c r="U61" s="18"/>
      <c r="V61" s="19">
        <f t="shared" si="141"/>
        <v>0</v>
      </c>
      <c r="W61" s="17"/>
      <c r="X61" s="119"/>
      <c r="Y61" s="19"/>
      <c r="Z61" s="18">
        <f t="shared" si="142"/>
        <v>0</v>
      </c>
      <c r="AA61" s="83"/>
      <c r="AB61" s="119"/>
      <c r="AC61" s="18"/>
      <c r="AD61" s="19">
        <f t="shared" si="143"/>
        <v>0</v>
      </c>
      <c r="AE61" s="17">
        <f t="shared" si="144"/>
        <v>0</v>
      </c>
      <c r="AF61" s="18">
        <f t="shared" si="144"/>
        <v>0</v>
      </c>
      <c r="AG61" s="18">
        <f t="shared" si="144"/>
        <v>0</v>
      </c>
      <c r="AH61" s="19">
        <f t="shared" si="145"/>
        <v>0</v>
      </c>
      <c r="AI61" s="17">
        <f t="shared" si="146"/>
        <v>0</v>
      </c>
      <c r="AJ61" s="18">
        <f t="shared" si="146"/>
        <v>0</v>
      </c>
      <c r="AK61" s="18">
        <f t="shared" si="146"/>
        <v>0</v>
      </c>
      <c r="AL61" s="19">
        <f t="shared" si="147"/>
        <v>0</v>
      </c>
      <c r="AM61" s="17"/>
      <c r="AN61" s="119"/>
      <c r="AO61" s="18"/>
      <c r="AP61" s="20">
        <f t="shared" si="148"/>
        <v>0</v>
      </c>
      <c r="AQ61" s="17"/>
      <c r="AR61" s="119"/>
      <c r="AS61" s="18"/>
      <c r="AT61" s="20">
        <f t="shared" si="149"/>
        <v>0</v>
      </c>
      <c r="AU61" s="17"/>
      <c r="AV61" s="119"/>
      <c r="AW61" s="43"/>
      <c r="AX61" s="20">
        <f t="shared" si="150"/>
        <v>0</v>
      </c>
      <c r="AY61" s="17">
        <f t="shared" si="151"/>
        <v>0</v>
      </c>
      <c r="AZ61" s="18">
        <f t="shared" si="151"/>
        <v>0</v>
      </c>
      <c r="BA61" s="18">
        <f t="shared" si="151"/>
        <v>0</v>
      </c>
      <c r="BB61" s="19">
        <f t="shared" si="152"/>
        <v>0</v>
      </c>
      <c r="BC61" s="190">
        <f t="shared" si="153"/>
        <v>0</v>
      </c>
      <c r="BD61" s="84">
        <f t="shared" si="153"/>
        <v>0</v>
      </c>
      <c r="BE61" s="84">
        <f t="shared" si="153"/>
        <v>0</v>
      </c>
      <c r="BF61" s="170">
        <f t="shared" si="154"/>
        <v>0</v>
      </c>
      <c r="BG61" s="83"/>
      <c r="BH61" s="119"/>
      <c r="BI61" s="18"/>
      <c r="BJ61" s="27">
        <f t="shared" si="155"/>
        <v>0</v>
      </c>
      <c r="BK61" s="17"/>
      <c r="BL61" s="119"/>
      <c r="BM61" s="18"/>
      <c r="BN61" s="27">
        <f t="shared" si="156"/>
        <v>0</v>
      </c>
      <c r="BO61" s="17"/>
      <c r="BP61" s="119"/>
      <c r="BQ61" s="18"/>
      <c r="BR61" s="41">
        <f t="shared" si="157"/>
        <v>0</v>
      </c>
      <c r="BS61" s="17">
        <f t="shared" si="158"/>
        <v>0</v>
      </c>
      <c r="BT61" s="18">
        <f t="shared" si="158"/>
        <v>0</v>
      </c>
      <c r="BU61" s="18">
        <f t="shared" si="158"/>
        <v>0</v>
      </c>
      <c r="BV61" s="20">
        <f t="shared" si="159"/>
        <v>0</v>
      </c>
      <c r="BW61" s="17">
        <f t="shared" si="160"/>
        <v>0</v>
      </c>
      <c r="BX61" s="18">
        <f t="shared" si="160"/>
        <v>0</v>
      </c>
      <c r="BY61" s="18">
        <f t="shared" si="160"/>
        <v>0</v>
      </c>
      <c r="BZ61" s="20">
        <f t="shared" si="161"/>
        <v>0</v>
      </c>
      <c r="CA61" s="17">
        <f t="shared" si="162"/>
        <v>0</v>
      </c>
      <c r="CB61" s="18">
        <f t="shared" si="162"/>
        <v>0</v>
      </c>
      <c r="CC61" s="18">
        <f t="shared" si="162"/>
        <v>0</v>
      </c>
      <c r="CD61" s="20">
        <f t="shared" si="163"/>
        <v>0</v>
      </c>
      <c r="CH61" s="3"/>
      <c r="CJ61" s="91">
        <f t="shared" si="134"/>
        <v>0</v>
      </c>
      <c r="CK61" s="91">
        <f t="shared" si="134"/>
        <v>0</v>
      </c>
      <c r="CL61" s="91">
        <f t="shared" si="134"/>
        <v>0</v>
      </c>
      <c r="CM61" s="91">
        <f t="shared" si="134"/>
        <v>0</v>
      </c>
      <c r="CN61" s="91">
        <f t="shared" si="86"/>
        <v>0</v>
      </c>
      <c r="CO61" s="91">
        <f t="shared" si="86"/>
        <v>0</v>
      </c>
      <c r="CP61" s="91">
        <f t="shared" si="86"/>
        <v>0</v>
      </c>
      <c r="CQ61" s="91">
        <f t="shared" si="86"/>
        <v>0</v>
      </c>
    </row>
    <row r="62" spans="1:95" ht="17.25" hidden="1" customHeight="1" outlineLevel="2" x14ac:dyDescent="0.3">
      <c r="A62" s="9"/>
      <c r="B62" s="28" t="s">
        <v>71</v>
      </c>
      <c r="C62" s="168"/>
      <c r="D62" s="18"/>
      <c r="E62" s="43"/>
      <c r="F62" s="170">
        <f t="shared" si="135"/>
        <v>0</v>
      </c>
      <c r="G62" s="83"/>
      <c r="H62" s="18"/>
      <c r="I62" s="18"/>
      <c r="J62" s="19">
        <f t="shared" si="136"/>
        <v>0</v>
      </c>
      <c r="K62" s="17"/>
      <c r="L62" s="18"/>
      <c r="M62" s="43"/>
      <c r="N62" s="19">
        <f t="shared" si="137"/>
        <v>0</v>
      </c>
      <c r="O62" s="17">
        <f t="shared" si="138"/>
        <v>0</v>
      </c>
      <c r="P62" s="43">
        <f t="shared" si="139"/>
        <v>0</v>
      </c>
      <c r="Q62" s="43">
        <f t="shared" si="139"/>
        <v>0</v>
      </c>
      <c r="R62" s="19">
        <f t="shared" si="140"/>
        <v>0</v>
      </c>
      <c r="S62" s="17"/>
      <c r="T62" s="18"/>
      <c r="U62" s="18"/>
      <c r="V62" s="19">
        <f t="shared" si="141"/>
        <v>0</v>
      </c>
      <c r="W62" s="17"/>
      <c r="X62" s="18"/>
      <c r="Y62" s="19"/>
      <c r="Z62" s="18">
        <f t="shared" si="142"/>
        <v>0</v>
      </c>
      <c r="AA62" s="83"/>
      <c r="AB62" s="18"/>
      <c r="AC62" s="18"/>
      <c r="AD62" s="19">
        <f t="shared" si="143"/>
        <v>0</v>
      </c>
      <c r="AE62" s="17">
        <f t="shared" si="144"/>
        <v>0</v>
      </c>
      <c r="AF62" s="18">
        <f t="shared" si="144"/>
        <v>0</v>
      </c>
      <c r="AG62" s="18">
        <f t="shared" si="144"/>
        <v>0</v>
      </c>
      <c r="AH62" s="19">
        <f t="shared" si="145"/>
        <v>0</v>
      </c>
      <c r="AI62" s="17">
        <f t="shared" si="146"/>
        <v>0</v>
      </c>
      <c r="AJ62" s="18">
        <f t="shared" si="146"/>
        <v>0</v>
      </c>
      <c r="AK62" s="18">
        <f t="shared" si="146"/>
        <v>0</v>
      </c>
      <c r="AL62" s="19">
        <f t="shared" si="147"/>
        <v>0</v>
      </c>
      <c r="AM62" s="17"/>
      <c r="AN62" s="18"/>
      <c r="AO62" s="18"/>
      <c r="AP62" s="20">
        <f t="shared" si="148"/>
        <v>0</v>
      </c>
      <c r="AQ62" s="17"/>
      <c r="AR62" s="18"/>
      <c r="AS62" s="18"/>
      <c r="AT62" s="20">
        <f t="shared" si="149"/>
        <v>0</v>
      </c>
      <c r="AU62" s="17"/>
      <c r="AV62" s="18"/>
      <c r="AW62" s="43"/>
      <c r="AX62" s="20">
        <f t="shared" si="150"/>
        <v>0</v>
      </c>
      <c r="AY62" s="17">
        <f t="shared" si="151"/>
        <v>0</v>
      </c>
      <c r="AZ62" s="18">
        <f t="shared" si="151"/>
        <v>0</v>
      </c>
      <c r="BA62" s="18">
        <f t="shared" si="151"/>
        <v>0</v>
      </c>
      <c r="BB62" s="19">
        <f t="shared" si="152"/>
        <v>0</v>
      </c>
      <c r="BC62" s="190">
        <f t="shared" si="153"/>
        <v>0</v>
      </c>
      <c r="BD62" s="84">
        <f t="shared" si="153"/>
        <v>0</v>
      </c>
      <c r="BE62" s="84">
        <f t="shared" si="153"/>
        <v>0</v>
      </c>
      <c r="BF62" s="170">
        <f t="shared" si="154"/>
        <v>0</v>
      </c>
      <c r="BG62" s="83"/>
      <c r="BH62" s="18"/>
      <c r="BI62" s="18"/>
      <c r="BJ62" s="27">
        <f t="shared" si="155"/>
        <v>0</v>
      </c>
      <c r="BK62" s="17"/>
      <c r="BL62" s="18"/>
      <c r="BM62" s="18"/>
      <c r="BN62" s="27">
        <f t="shared" si="156"/>
        <v>0</v>
      </c>
      <c r="BO62" s="17"/>
      <c r="BP62" s="18"/>
      <c r="BQ62" s="18"/>
      <c r="BR62" s="41">
        <f t="shared" si="157"/>
        <v>0</v>
      </c>
      <c r="BS62" s="17">
        <f t="shared" si="158"/>
        <v>0</v>
      </c>
      <c r="BT62" s="18">
        <f t="shared" si="158"/>
        <v>0</v>
      </c>
      <c r="BU62" s="18">
        <f t="shared" si="158"/>
        <v>0</v>
      </c>
      <c r="BV62" s="20">
        <f t="shared" si="159"/>
        <v>0</v>
      </c>
      <c r="BW62" s="17">
        <f t="shared" si="160"/>
        <v>0</v>
      </c>
      <c r="BX62" s="18">
        <f t="shared" si="160"/>
        <v>0</v>
      </c>
      <c r="BY62" s="18">
        <f t="shared" si="160"/>
        <v>0</v>
      </c>
      <c r="BZ62" s="20">
        <f t="shared" si="161"/>
        <v>0</v>
      </c>
      <c r="CA62" s="17">
        <f t="shared" si="162"/>
        <v>0</v>
      </c>
      <c r="CB62" s="18">
        <f t="shared" si="162"/>
        <v>0</v>
      </c>
      <c r="CC62" s="18">
        <f t="shared" si="162"/>
        <v>0</v>
      </c>
      <c r="CD62" s="20">
        <f t="shared" si="163"/>
        <v>0</v>
      </c>
      <c r="CH62" s="3"/>
      <c r="CJ62" s="91">
        <f t="shared" si="134"/>
        <v>0</v>
      </c>
      <c r="CK62" s="91">
        <f t="shared" si="134"/>
        <v>0</v>
      </c>
      <c r="CL62" s="91">
        <f t="shared" si="134"/>
        <v>0</v>
      </c>
      <c r="CM62" s="91">
        <f t="shared" si="134"/>
        <v>0</v>
      </c>
      <c r="CN62" s="91">
        <f t="shared" si="86"/>
        <v>0</v>
      </c>
      <c r="CO62" s="91">
        <f t="shared" si="86"/>
        <v>0</v>
      </c>
      <c r="CP62" s="91">
        <f t="shared" si="86"/>
        <v>0</v>
      </c>
      <c r="CQ62" s="91">
        <f t="shared" si="86"/>
        <v>0</v>
      </c>
    </row>
    <row r="63" spans="1:95" ht="17.25" hidden="1" customHeight="1" outlineLevel="2" x14ac:dyDescent="0.3">
      <c r="A63" s="9"/>
      <c r="B63" s="28" t="s">
        <v>72</v>
      </c>
      <c r="C63" s="168"/>
      <c r="D63" s="18"/>
      <c r="E63" s="43"/>
      <c r="F63" s="170">
        <f t="shared" si="135"/>
        <v>0</v>
      </c>
      <c r="G63" s="83"/>
      <c r="H63" s="18"/>
      <c r="I63" s="18"/>
      <c r="J63" s="19">
        <f t="shared" si="136"/>
        <v>0</v>
      </c>
      <c r="K63" s="17"/>
      <c r="L63" s="18"/>
      <c r="M63" s="18"/>
      <c r="N63" s="19">
        <f t="shared" si="137"/>
        <v>0</v>
      </c>
      <c r="O63" s="17">
        <f t="shared" si="138"/>
        <v>0</v>
      </c>
      <c r="P63" s="43">
        <f t="shared" si="139"/>
        <v>0</v>
      </c>
      <c r="Q63" s="43">
        <f t="shared" si="139"/>
        <v>0</v>
      </c>
      <c r="R63" s="19">
        <f t="shared" si="140"/>
        <v>0</v>
      </c>
      <c r="S63" s="17"/>
      <c r="T63" s="18"/>
      <c r="U63" s="18"/>
      <c r="V63" s="19">
        <f t="shared" si="141"/>
        <v>0</v>
      </c>
      <c r="W63" s="17"/>
      <c r="X63" s="18"/>
      <c r="Y63" s="19"/>
      <c r="Z63" s="18">
        <f t="shared" si="142"/>
        <v>0</v>
      </c>
      <c r="AA63" s="83"/>
      <c r="AB63" s="18"/>
      <c r="AC63" s="43"/>
      <c r="AD63" s="19">
        <f t="shared" si="143"/>
        <v>0</v>
      </c>
      <c r="AE63" s="17">
        <f t="shared" si="144"/>
        <v>0</v>
      </c>
      <c r="AF63" s="18">
        <f t="shared" si="144"/>
        <v>0</v>
      </c>
      <c r="AG63" s="18">
        <f t="shared" si="144"/>
        <v>0</v>
      </c>
      <c r="AH63" s="19">
        <f t="shared" si="145"/>
        <v>0</v>
      </c>
      <c r="AI63" s="17">
        <f t="shared" si="146"/>
        <v>0</v>
      </c>
      <c r="AJ63" s="18">
        <f t="shared" si="146"/>
        <v>0</v>
      </c>
      <c r="AK63" s="18">
        <f t="shared" si="146"/>
        <v>0</v>
      </c>
      <c r="AL63" s="19">
        <f t="shared" si="147"/>
        <v>0</v>
      </c>
      <c r="AM63" s="17"/>
      <c r="AN63" s="18"/>
      <c r="AO63" s="18"/>
      <c r="AP63" s="20">
        <f t="shared" si="148"/>
        <v>0</v>
      </c>
      <c r="AQ63" s="17"/>
      <c r="AR63" s="18"/>
      <c r="AS63" s="18"/>
      <c r="AT63" s="20">
        <f t="shared" si="149"/>
        <v>0</v>
      </c>
      <c r="AU63" s="17"/>
      <c r="AV63" s="18"/>
      <c r="AW63" s="43"/>
      <c r="AX63" s="20">
        <f t="shared" si="150"/>
        <v>0</v>
      </c>
      <c r="AY63" s="17">
        <f t="shared" si="151"/>
        <v>0</v>
      </c>
      <c r="AZ63" s="18">
        <f t="shared" si="151"/>
        <v>0</v>
      </c>
      <c r="BA63" s="18">
        <f t="shared" si="151"/>
        <v>0</v>
      </c>
      <c r="BB63" s="19">
        <f t="shared" si="152"/>
        <v>0</v>
      </c>
      <c r="BC63" s="190">
        <f t="shared" si="153"/>
        <v>0</v>
      </c>
      <c r="BD63" s="84">
        <f t="shared" si="153"/>
        <v>0</v>
      </c>
      <c r="BE63" s="84">
        <f t="shared" si="153"/>
        <v>0</v>
      </c>
      <c r="BF63" s="170">
        <f t="shared" si="154"/>
        <v>0</v>
      </c>
      <c r="BG63" s="83"/>
      <c r="BH63" s="18"/>
      <c r="BI63" s="18"/>
      <c r="BJ63" s="27">
        <f t="shared" si="155"/>
        <v>0</v>
      </c>
      <c r="BK63" s="17"/>
      <c r="BL63" s="18"/>
      <c r="BM63" s="18"/>
      <c r="BN63" s="27">
        <f t="shared" si="156"/>
        <v>0</v>
      </c>
      <c r="BO63" s="17"/>
      <c r="BP63" s="18"/>
      <c r="BQ63" s="18"/>
      <c r="BR63" s="41">
        <f t="shared" si="157"/>
        <v>0</v>
      </c>
      <c r="BS63" s="17">
        <f t="shared" si="158"/>
        <v>0</v>
      </c>
      <c r="BT63" s="18">
        <f t="shared" si="158"/>
        <v>0</v>
      </c>
      <c r="BU63" s="18">
        <f t="shared" si="158"/>
        <v>0</v>
      </c>
      <c r="BV63" s="20">
        <f t="shared" si="159"/>
        <v>0</v>
      </c>
      <c r="BW63" s="17">
        <f t="shared" si="160"/>
        <v>0</v>
      </c>
      <c r="BX63" s="18">
        <f t="shared" si="160"/>
        <v>0</v>
      </c>
      <c r="BY63" s="18">
        <f t="shared" si="160"/>
        <v>0</v>
      </c>
      <c r="BZ63" s="20">
        <f t="shared" si="161"/>
        <v>0</v>
      </c>
      <c r="CA63" s="17">
        <f t="shared" si="162"/>
        <v>0</v>
      </c>
      <c r="CB63" s="18">
        <f t="shared" si="162"/>
        <v>0</v>
      </c>
      <c r="CC63" s="18">
        <f t="shared" si="162"/>
        <v>0</v>
      </c>
      <c r="CD63" s="20">
        <f t="shared" si="163"/>
        <v>0</v>
      </c>
      <c r="CH63" s="3"/>
      <c r="CJ63" s="91">
        <f t="shared" si="134"/>
        <v>0</v>
      </c>
      <c r="CK63" s="91">
        <f t="shared" si="134"/>
        <v>0</v>
      </c>
      <c r="CL63" s="91">
        <f t="shared" si="134"/>
        <v>0</v>
      </c>
      <c r="CM63" s="91">
        <f t="shared" si="134"/>
        <v>0</v>
      </c>
      <c r="CN63" s="91">
        <f t="shared" si="86"/>
        <v>0</v>
      </c>
      <c r="CO63" s="91">
        <f t="shared" si="86"/>
        <v>0</v>
      </c>
      <c r="CP63" s="91">
        <f t="shared" si="86"/>
        <v>0</v>
      </c>
      <c r="CQ63" s="91">
        <f t="shared" si="86"/>
        <v>0</v>
      </c>
    </row>
    <row r="64" spans="1:95" ht="33.75" customHeight="1" collapsed="1" x14ac:dyDescent="0.3">
      <c r="A64" s="9">
        <v>7</v>
      </c>
      <c r="B64" s="10" t="s">
        <v>73</v>
      </c>
      <c r="C64" s="168">
        <f>C65+C66+C67+C68+C69+C70+C71+C72+C73</f>
        <v>493700</v>
      </c>
      <c r="D64" s="31">
        <f>D65+D66+D67+D68+D69+D70+D71+D72+D73+D74</f>
        <v>105450</v>
      </c>
      <c r="E64" s="31">
        <f>E65+E66+E67+E68+E69+E70+E71+E72+E73+E74</f>
        <v>105475</v>
      </c>
      <c r="F64" s="178">
        <f>F65+F66+F67+F68+F69+F70+F71+F72+F73</f>
        <v>-388250</v>
      </c>
      <c r="G64" s="89">
        <f>G65+G66+G67+G68+G69+G70+G71+G72+G73</f>
        <v>205525</v>
      </c>
      <c r="H64" s="31">
        <f>H65+H66+H67+H68+H69+H70+H71+H72+H73+H74</f>
        <v>945368</v>
      </c>
      <c r="I64" s="31">
        <f>I65+I66+I67+I68+I69+I70+I71+I72+I73+I74</f>
        <v>66868</v>
      </c>
      <c r="J64" s="31">
        <f>J65+J66+J67+J68+J69+J70+J71+J72+J73</f>
        <v>-176657</v>
      </c>
      <c r="K64" s="31">
        <f>K65+K66+K67+K68+K69+K70+K71+K72+K73</f>
        <v>83700</v>
      </c>
      <c r="L64" s="31">
        <f>L65+L66+L67+L68+L69+L70+L71+L72+L73+L74</f>
        <v>40000</v>
      </c>
      <c r="M64" s="31">
        <f>M65+M66+M67+M68+M69+M70+M71+M72+M73+M74</f>
        <v>916500</v>
      </c>
      <c r="N64" s="31">
        <f>N65+N66+N67+N68+N69+N70+N71+N72+N73</f>
        <v>-43700</v>
      </c>
      <c r="O64" s="31">
        <f t="shared" ref="O64:P64" si="164">O65+O66+O67+O68+O69+O70+O71+O72+O73+O74</f>
        <v>782925</v>
      </c>
      <c r="P64" s="31">
        <f t="shared" si="164"/>
        <v>1090818</v>
      </c>
      <c r="Q64" s="31">
        <f>Q65+Q66+Q67+Q68+Q69+Q70+Q71+Q72+Q73+Q74</f>
        <v>1088843</v>
      </c>
      <c r="R64" s="31">
        <f>R65+R66+R67+R68+R69+R70+R71+R72+R73</f>
        <v>-608607</v>
      </c>
      <c r="S64" s="31">
        <f>S65+S66+S67+S68+S69+S70+S71+S72+S73</f>
        <v>143700</v>
      </c>
      <c r="T64" s="31">
        <f>T65+T66+T67+T68+T69+T70+T71+T72+T73+T74</f>
        <v>119390.77</v>
      </c>
      <c r="U64" s="31">
        <f>U65+U66+U67+U68+U69+U70+U71+U72+U73+U74</f>
        <v>17940.77</v>
      </c>
      <c r="V64" s="31">
        <f>V65+V66+V67+V68+V69+V70+V71+V72+V73</f>
        <v>-24309.229999999996</v>
      </c>
      <c r="W64" s="31">
        <f>W65+W66+W67+W68+W69+W70+W71+W72+W73</f>
        <v>88700</v>
      </c>
      <c r="X64" s="31">
        <f>X65+X66+X67+X68+X69+X70+X71+X72+X73+X74</f>
        <v>12240</v>
      </c>
      <c r="Y64" s="30">
        <f>Y65+Y66+Y67+Y68+Y69+Y70+Y71+Y72+Y73+Y74</f>
        <v>107528.2</v>
      </c>
      <c r="Z64" s="31">
        <f>Z65+Z66+Z67+Z68+Z69+Z70+Z71+Z72+Z73</f>
        <v>-76460</v>
      </c>
      <c r="AA64" s="89">
        <f>AA65+AA66+AA67+AA68+AA69+AA70+AA71+AA72+AA73</f>
        <v>93700</v>
      </c>
      <c r="AB64" s="31">
        <f>AB65+AB66+AB67+AB68+AB69+AB70+AB71+AB72+AB73+AB74</f>
        <v>8612.1</v>
      </c>
      <c r="AC64" s="95">
        <f>AC65+AC66+AC67+AC68+AC69+AC70+AC71+AC72+AC73+AC74</f>
        <v>8612.1</v>
      </c>
      <c r="AD64" s="31">
        <f>AD65+AD66+AD67+AD68+AD69+AD70+AD71+AD72+AD73</f>
        <v>-85087.9</v>
      </c>
      <c r="AE64" s="31">
        <f>AE65+AE66+AE67+AE68+AE69+AE70+AE71+AE72+AE73</f>
        <v>326100</v>
      </c>
      <c r="AF64" s="31">
        <f>AF65+AF66+AF67+AF68+AF69+AF70+AF71+AF72+AF73+AF74</f>
        <v>140242.87</v>
      </c>
      <c r="AG64" s="31">
        <f>AG65+AG66+AG67+AG68+AG69+AG70+AG71+AG72+AG73+AG74</f>
        <v>134081.07</v>
      </c>
      <c r="AH64" s="31">
        <f>AH65+AH66+AH67+AH68+AH69+AH70+AH71+AH72+AH73</f>
        <v>-185857.13</v>
      </c>
      <c r="AI64" s="31">
        <f>AI65+AI66+AI67+AI68+AI69+AI70+AI71+AI72+AI73</f>
        <v>1109025</v>
      </c>
      <c r="AJ64" s="31">
        <f>AJ65+AJ66+AJ67+AJ68+AJ69+AJ70+AJ71+AJ72+AJ73+AJ74</f>
        <v>1231060.8700000001</v>
      </c>
      <c r="AK64" s="31">
        <f>AK65+AK66+AK67+AK68+AK69+AK70+AK71+AK72+AK73+AK74</f>
        <v>1222924.07</v>
      </c>
      <c r="AL64" s="31">
        <f>AL65+AL66+AL67+AL68+AL69+AL70+AL71+AL72+AL73</f>
        <v>-794464.13</v>
      </c>
      <c r="AM64" s="31">
        <f>AM65+AM66+AM67+AM68+AM69+AM70+AM71+AM72+AM73</f>
        <v>66700</v>
      </c>
      <c r="AN64" s="31">
        <f>AN65+AN66+AN67+AN68+AN69+AN70+AN71+AN72+AN73+AN74</f>
        <v>21427.9</v>
      </c>
      <c r="AO64" s="31">
        <f>AO65+AO66+AO67+AO68+AO69+AO70+AO71+AO72+AO73+AO74</f>
        <v>21427.9</v>
      </c>
      <c r="AP64" s="31">
        <f>AP65+AP66+AP67+AP68+AP69+AP70+AP71+AP72+AP73</f>
        <v>-45272.1</v>
      </c>
      <c r="AQ64" s="31">
        <f>AQ65+AQ66+AQ67+AQ68+AQ69+AQ70+AQ71+AQ72+AQ73</f>
        <v>66700</v>
      </c>
      <c r="AR64" s="31">
        <f>AR65+AR66+AR67+AR68+AR69+AR70+AR71+AR72+AR73+AR74</f>
        <v>45725.340000000004</v>
      </c>
      <c r="AS64" s="31">
        <f>AS65+AS66+AS67+AS68+AS69+AS70+AS71+AS72+AS73+AS74</f>
        <v>67949.8</v>
      </c>
      <c r="AT64" s="31">
        <f>AT65+AT66+AT67+AT68+AT69+AT70+AT71+AT72+AT73</f>
        <v>-20974.659999999996</v>
      </c>
      <c r="AU64" s="31">
        <f>AU65+AU66+AU67+AU68+AU69+AU70+AU71+AU72+AU73</f>
        <v>66700</v>
      </c>
      <c r="AV64" s="31">
        <f>AV65+AV66+AV67+AV68+AV69+AV70+AV71+AV72+AV73+AV74</f>
        <v>256688.55</v>
      </c>
      <c r="AW64" s="31">
        <f>AW65+AW66+AW67+AW68+AW69+AW70+AW71+AW72+AW73+AW74</f>
        <v>271017.34999999998</v>
      </c>
      <c r="AX64" s="31">
        <f>AX65+AX66+AX67+AX68+AX69+AX70+AX71+AX72+AX73</f>
        <v>189988.55</v>
      </c>
      <c r="AY64" s="31">
        <f>AY65+AY66+AY67+AY68+AY69+AY70+AY71+AY72+AY73</f>
        <v>200100</v>
      </c>
      <c r="AZ64" s="31">
        <f>AZ65+AZ66+AZ67+AZ68+AZ69+AZ70+AZ71+AZ72+AZ73+AZ74</f>
        <v>323841.79000000004</v>
      </c>
      <c r="BA64" s="31">
        <f>BA65+BA66+BA67+BA68+BA69+BA70+BA71+BA72+BA73+BA74</f>
        <v>360395.05</v>
      </c>
      <c r="BB64" s="30">
        <f>BB65+BB66+BB67+BB68+BB69+BB70+BB71+BB72+BB73</f>
        <v>123741.79000000001</v>
      </c>
      <c r="BC64" s="168">
        <f>BC65+BC66+BC67+BC68+BC69+BC70+BC71+BC72+BC73</f>
        <v>1309125</v>
      </c>
      <c r="BD64" s="31">
        <f>BD65+BD66+BD67+BD68+BD69+BD70+BD71+BD72+BD73+BD74</f>
        <v>1554902.6600000001</v>
      </c>
      <c r="BE64" s="31">
        <f>BE65+BE66+BE67+BE68+BE69+BE70+BE71+BE72+BE73+BE74</f>
        <v>1583319.12</v>
      </c>
      <c r="BF64" s="178">
        <f>BF65+BF66+BF67+BF68+BF69+BF70+BF71+BF72+BF73</f>
        <v>-670722.34000000008</v>
      </c>
      <c r="BG64" s="89">
        <f>BG65+BG66+BG67+BG68+BG69+BG70+BG71+BG72+BG73</f>
        <v>76700</v>
      </c>
      <c r="BH64" s="31">
        <f>BH65+BH66+BH67+BH68+BH69+BH70+BH71+BH72+BH73+BH74</f>
        <v>62420</v>
      </c>
      <c r="BI64" s="95">
        <f>BI65+BI66+BI67+BI68+BI69+BI70+BI71+BI72+BI73+BI74</f>
        <v>38186</v>
      </c>
      <c r="BJ64" s="95">
        <f>BJ65+BJ66+BJ67+BJ68+BJ69+BJ70+BJ71+BJ72+BJ73</f>
        <v>-14280</v>
      </c>
      <c r="BK64" s="95">
        <f>BK65+BK66+BK67+BK68+BK69+BK70+BK71+BK72+BK73</f>
        <v>171700</v>
      </c>
      <c r="BL64" s="95">
        <f>BL65+BL66+BL67+BL68+BL69+BL70+BL71+BL72+BL73+BL74</f>
        <v>76500</v>
      </c>
      <c r="BM64" s="95">
        <f>BM65+BM66+BM67+BM68+BM69+BM70+BM71+BM72+BM73+BM74</f>
        <v>44240</v>
      </c>
      <c r="BN64" s="95">
        <f>BN65+BN66+BN67+BN68+BN69+BN70+BN71+BN72+BN73</f>
        <v>-95200</v>
      </c>
      <c r="BO64" s="95">
        <f>BO65+BO66+BO67+BO68+BO69+BO70+BO71+BO72+BO73</f>
        <v>116700</v>
      </c>
      <c r="BP64" s="95">
        <f>BP65+BP66+BP67+BP68+BP69+BP70+BP71+BP72+BP73+BP74</f>
        <v>19006</v>
      </c>
      <c r="BQ64" s="95">
        <f>BQ65+BQ66+BQ67+BQ68+BQ69+BQ70+BQ71+BQ72+BQ73+BQ74</f>
        <v>52436</v>
      </c>
      <c r="BR64" s="31">
        <f>BR65+BR66+BR67+BR68+BR69+BR70+BR71+BR72+BR73</f>
        <v>-97694</v>
      </c>
      <c r="BS64" s="31">
        <f>BS65+BS66+BS67+BS68+BS69+BS70+BS71+BS72+BS73</f>
        <v>365100</v>
      </c>
      <c r="BT64" s="31">
        <f>BT65+BT66+BT67+BT68+BT69+BT70+BT71+BT72+BT73+BT74</f>
        <v>157926</v>
      </c>
      <c r="BU64" s="31">
        <f>BU65+BU66+BU67+BU68+BU69+BU70+BU71+BU72+BU73+BU74</f>
        <v>134862</v>
      </c>
      <c r="BV64" s="31">
        <f>BV65+BV66+BV67+BV68+BV69+BV70+BV71+BV72+BV73</f>
        <v>-207174</v>
      </c>
      <c r="BW64" s="31">
        <f>BW65+BW66+BW67+BW68+BW69+BW70+BW71+BW72+BW73</f>
        <v>565200</v>
      </c>
      <c r="BX64" s="31">
        <f>BX65+BX66+BX67+BX68+BX69+BX70+BX71+BX72+BX73+BX74</f>
        <v>481767.79</v>
      </c>
      <c r="BY64" s="31">
        <f>BY65+BY66+BY67+BY68+BY69+BY70+BY71+BY72+BY73+BY74</f>
        <v>495257.05</v>
      </c>
      <c r="BZ64" s="31">
        <f>BZ65+BZ66+BZ67+BZ68+BZ69+BZ70+BZ71+BZ72+BZ73</f>
        <v>-83432.209999999992</v>
      </c>
      <c r="CA64" s="31">
        <f>CA65+CA66+CA67+CA68+CA69+CA70+CA71+CA72+CA73+CA74</f>
        <v>1674225</v>
      </c>
      <c r="CB64" s="31">
        <f t="shared" ref="CB64:CC64" si="165">CB65+CB66+CB67+CB68+CB69+CB70+CB71+CB72+CB73+CB74</f>
        <v>1712828.66</v>
      </c>
      <c r="CC64" s="31">
        <f t="shared" si="165"/>
        <v>1718181.12</v>
      </c>
      <c r="CD64" s="31">
        <f>CB64-CA64</f>
        <v>38603.659999999916</v>
      </c>
      <c r="CH64" s="3"/>
      <c r="CJ64" s="209">
        <f>SUM(CJ65:CJ74)</f>
        <v>365100</v>
      </c>
      <c r="CK64" s="209">
        <f>SUM(CK65:CK74)</f>
        <v>157926</v>
      </c>
      <c r="CL64" s="209">
        <f>SUM(CL65:CL74)</f>
        <v>134862</v>
      </c>
      <c r="CM64" s="209">
        <f>SUM(CM65:CM74)</f>
        <v>-207174</v>
      </c>
      <c r="CN64" s="209">
        <f t="shared" ref="CN64:CQ98" si="166">O64+AE64+AY64+CJ64</f>
        <v>1674225</v>
      </c>
      <c r="CO64" s="209">
        <f t="shared" si="166"/>
        <v>1712828.6600000001</v>
      </c>
      <c r="CP64" s="209">
        <f t="shared" si="166"/>
        <v>1718181.12</v>
      </c>
      <c r="CQ64" s="209">
        <f t="shared" si="166"/>
        <v>-877896.34</v>
      </c>
    </row>
    <row r="65" spans="1:95" ht="22.5" hidden="1" customHeight="1" outlineLevel="1" x14ac:dyDescent="0.3">
      <c r="A65" s="42">
        <v>7.12</v>
      </c>
      <c r="B65" s="28" t="s">
        <v>74</v>
      </c>
      <c r="C65" s="174">
        <v>30000</v>
      </c>
      <c r="D65" s="18"/>
      <c r="E65" s="43"/>
      <c r="F65" s="170">
        <f t="shared" ref="F65:F94" si="167">D65-C65</f>
        <v>-30000</v>
      </c>
      <c r="G65" s="83">
        <v>30000</v>
      </c>
      <c r="H65" s="18">
        <v>868</v>
      </c>
      <c r="I65" s="43">
        <v>868</v>
      </c>
      <c r="J65" s="19">
        <f t="shared" ref="J65:J82" si="168">H65-G65</f>
        <v>-29132</v>
      </c>
      <c r="K65" s="17">
        <v>30000</v>
      </c>
      <c r="L65" s="18"/>
      <c r="M65" s="18"/>
      <c r="N65" s="19">
        <f t="shared" ref="N65:N72" si="169">L65-K65</f>
        <v>-30000</v>
      </c>
      <c r="O65" s="17">
        <f t="shared" ref="O65:O74" si="170">C65+G65+K65</f>
        <v>90000</v>
      </c>
      <c r="P65" s="43">
        <f t="shared" ref="P65:Q74" si="171">L65+H65+D65</f>
        <v>868</v>
      </c>
      <c r="Q65" s="43">
        <f t="shared" si="171"/>
        <v>868</v>
      </c>
      <c r="R65" s="19">
        <f t="shared" ref="R65:R94" si="172">P65-O65</f>
        <v>-89132</v>
      </c>
      <c r="S65" s="17">
        <v>10000</v>
      </c>
      <c r="T65" s="18"/>
      <c r="U65" s="43"/>
      <c r="V65" s="19">
        <f t="shared" ref="V65:V72" si="173">T65-S65</f>
        <v>-10000</v>
      </c>
      <c r="W65" s="17">
        <v>10000</v>
      </c>
      <c r="X65" s="18"/>
      <c r="Y65" s="19"/>
      <c r="Z65" s="18">
        <f t="shared" ref="Z65:Z72" si="174">X65-W65</f>
        <v>-10000</v>
      </c>
      <c r="AA65" s="83">
        <v>10000</v>
      </c>
      <c r="AB65" s="18"/>
      <c r="AC65" s="43"/>
      <c r="AD65" s="19">
        <f t="shared" ref="AD65:AD86" si="175">AB65-AA65</f>
        <v>-10000</v>
      </c>
      <c r="AE65" s="17">
        <f t="shared" ref="AE65:AG72" si="176">S65+W65+AA65</f>
        <v>30000</v>
      </c>
      <c r="AF65" s="18">
        <f t="shared" si="176"/>
        <v>0</v>
      </c>
      <c r="AG65" s="18">
        <f t="shared" si="176"/>
        <v>0</v>
      </c>
      <c r="AH65" s="19">
        <f t="shared" ref="AH65:AH74" si="177">AF65-AE65</f>
        <v>-30000</v>
      </c>
      <c r="AI65" s="17">
        <f t="shared" ref="AI65:AK74" si="178">AE65+O65</f>
        <v>120000</v>
      </c>
      <c r="AJ65" s="18">
        <f t="shared" si="178"/>
        <v>868</v>
      </c>
      <c r="AK65" s="18">
        <f t="shared" si="178"/>
        <v>868</v>
      </c>
      <c r="AL65" s="19">
        <f t="shared" ref="AL65:AL105" si="179">AJ65-AI65</f>
        <v>-119132</v>
      </c>
      <c r="AM65" s="17">
        <v>10000</v>
      </c>
      <c r="AN65" s="18"/>
      <c r="AO65" s="18"/>
      <c r="AP65" s="20">
        <f t="shared" ref="AP65:AP72" si="180">AN65-AM65</f>
        <v>-10000</v>
      </c>
      <c r="AQ65" s="17">
        <v>10000</v>
      </c>
      <c r="AR65" s="18"/>
      <c r="AS65" s="18"/>
      <c r="AT65" s="20">
        <f t="shared" ref="AT65:AT72" si="181">AR65-AQ65</f>
        <v>-10000</v>
      </c>
      <c r="AU65" s="17">
        <v>10000</v>
      </c>
      <c r="AV65" s="18">
        <f>1420+673</f>
        <v>2093</v>
      </c>
      <c r="AW65" s="43">
        <v>2143</v>
      </c>
      <c r="AX65" s="20">
        <f t="shared" ref="AX65:AX72" si="182">AV65-AU65</f>
        <v>-7907</v>
      </c>
      <c r="AY65" s="17">
        <f t="shared" ref="AY65:BA74" si="183">AM65+AQ65+AU65</f>
        <v>30000</v>
      </c>
      <c r="AZ65" s="18">
        <f t="shared" si="183"/>
        <v>2093</v>
      </c>
      <c r="BA65" s="18">
        <f t="shared" si="183"/>
        <v>2143</v>
      </c>
      <c r="BB65" s="19">
        <f t="shared" ref="BB65:BB84" si="184">AZ65-AY65</f>
        <v>-27907</v>
      </c>
      <c r="BC65" s="190">
        <f t="shared" ref="BC65:BE74" si="185">(AI65+AY65)</f>
        <v>150000</v>
      </c>
      <c r="BD65" s="84">
        <f t="shared" si="185"/>
        <v>2961</v>
      </c>
      <c r="BE65" s="84">
        <f t="shared" si="185"/>
        <v>3011</v>
      </c>
      <c r="BF65" s="170">
        <f t="shared" ref="BF65:BF87" si="186">BD65-BC65</f>
        <v>-147039</v>
      </c>
      <c r="BG65" s="83">
        <v>20000</v>
      </c>
      <c r="BH65" s="18">
        <v>18000</v>
      </c>
      <c r="BI65" s="43">
        <v>18000</v>
      </c>
      <c r="BJ65" s="41">
        <f t="shared" ref="BJ65:BJ72" si="187">BH65-BG65</f>
        <v>-2000</v>
      </c>
      <c r="BK65" s="44">
        <v>20000</v>
      </c>
      <c r="BL65" s="43">
        <v>25920</v>
      </c>
      <c r="BM65" s="43"/>
      <c r="BN65" s="41">
        <f t="shared" ref="BN65:BN72" si="188">BL65-BK65</f>
        <v>5920</v>
      </c>
      <c r="BO65" s="44">
        <v>30000</v>
      </c>
      <c r="BP65" s="43">
        <f>1032+1840</f>
        <v>2872</v>
      </c>
      <c r="BQ65" s="43">
        <f>2822+25920</f>
        <v>28742</v>
      </c>
      <c r="BR65" s="41">
        <f t="shared" ref="BR65:BR86" si="189">BP65-BO65</f>
        <v>-27128</v>
      </c>
      <c r="BS65" s="17">
        <f t="shared" ref="BS65:BU72" si="190">BG65+BK65+BO65</f>
        <v>70000</v>
      </c>
      <c r="BT65" s="18">
        <f t="shared" si="190"/>
        <v>46792</v>
      </c>
      <c r="BU65" s="18">
        <f t="shared" si="190"/>
        <v>46742</v>
      </c>
      <c r="BV65" s="20">
        <f t="shared" ref="BV65:BV72" si="191">BT65-BS65</f>
        <v>-23208</v>
      </c>
      <c r="BW65" s="17">
        <f t="shared" ref="BW65:BY72" si="192">BS65+AY65</f>
        <v>100000</v>
      </c>
      <c r="BX65" s="18">
        <f t="shared" si="192"/>
        <v>48885</v>
      </c>
      <c r="BY65" s="18">
        <f t="shared" si="192"/>
        <v>48885</v>
      </c>
      <c r="BZ65" s="20">
        <f t="shared" ref="BZ65:BZ72" si="193">BX65-BW65</f>
        <v>-51115</v>
      </c>
      <c r="CA65" s="17">
        <f t="shared" ref="CA65:CC74" si="194">BW65+AI65</f>
        <v>220000</v>
      </c>
      <c r="CB65" s="18">
        <f t="shared" si="194"/>
        <v>49753</v>
      </c>
      <c r="CC65" s="18">
        <f t="shared" si="194"/>
        <v>49753</v>
      </c>
      <c r="CD65" s="20">
        <f>CB65-CA65</f>
        <v>-170247</v>
      </c>
      <c r="CF65" s="3"/>
      <c r="CH65" s="3"/>
      <c r="CJ65" s="91">
        <f t="shared" ref="CJ65:CM74" si="195">BG65+BK65+BO65</f>
        <v>70000</v>
      </c>
      <c r="CK65" s="91">
        <f t="shared" si="195"/>
        <v>46792</v>
      </c>
      <c r="CL65" s="91">
        <f t="shared" si="195"/>
        <v>46742</v>
      </c>
      <c r="CM65" s="91">
        <f t="shared" si="195"/>
        <v>-23208</v>
      </c>
      <c r="CN65" s="91">
        <f t="shared" si="166"/>
        <v>220000</v>
      </c>
      <c r="CO65" s="91">
        <f t="shared" si="166"/>
        <v>49753</v>
      </c>
      <c r="CP65" s="91">
        <f t="shared" si="166"/>
        <v>49753</v>
      </c>
      <c r="CQ65" s="91">
        <f t="shared" si="166"/>
        <v>-170247</v>
      </c>
    </row>
    <row r="66" spans="1:95" ht="22.5" hidden="1" customHeight="1" outlineLevel="1" x14ac:dyDescent="0.3">
      <c r="A66" s="42">
        <v>7.2</v>
      </c>
      <c r="B66" s="28" t="s">
        <v>75</v>
      </c>
      <c r="C66" s="174">
        <v>5000</v>
      </c>
      <c r="D66" s="18"/>
      <c r="E66" s="43"/>
      <c r="F66" s="170">
        <f t="shared" si="167"/>
        <v>-5000</v>
      </c>
      <c r="G66" s="83">
        <v>5000</v>
      </c>
      <c r="H66" s="18"/>
      <c r="I66" s="18"/>
      <c r="J66" s="19">
        <f t="shared" si="168"/>
        <v>-5000</v>
      </c>
      <c r="K66" s="17">
        <v>10000</v>
      </c>
      <c r="L66" s="18"/>
      <c r="M66" s="18"/>
      <c r="N66" s="19">
        <f t="shared" si="169"/>
        <v>-10000</v>
      </c>
      <c r="O66" s="17">
        <f t="shared" si="170"/>
        <v>20000</v>
      </c>
      <c r="P66" s="43">
        <f t="shared" si="171"/>
        <v>0</v>
      </c>
      <c r="Q66" s="43">
        <f t="shared" si="171"/>
        <v>0</v>
      </c>
      <c r="R66" s="19">
        <f t="shared" si="172"/>
        <v>-20000</v>
      </c>
      <c r="S66" s="17">
        <v>10000</v>
      </c>
      <c r="T66" s="18">
        <v>17940.77</v>
      </c>
      <c r="U66" s="43">
        <v>17940.77</v>
      </c>
      <c r="V66" s="19">
        <f t="shared" si="173"/>
        <v>7940.77</v>
      </c>
      <c r="W66" s="17">
        <v>10000</v>
      </c>
      <c r="X66" s="18">
        <v>4240</v>
      </c>
      <c r="Y66" s="19">
        <v>4240</v>
      </c>
      <c r="Z66" s="18">
        <f t="shared" si="174"/>
        <v>-5760</v>
      </c>
      <c r="AA66" s="83">
        <v>10000</v>
      </c>
      <c r="AB66" s="18">
        <v>5756.1</v>
      </c>
      <c r="AC66" s="43">
        <v>5756.1</v>
      </c>
      <c r="AD66" s="19">
        <f t="shared" si="175"/>
        <v>-4243.8999999999996</v>
      </c>
      <c r="AE66" s="17">
        <f t="shared" si="176"/>
        <v>30000</v>
      </c>
      <c r="AF66" s="18">
        <f t="shared" si="176"/>
        <v>27936.870000000003</v>
      </c>
      <c r="AG66" s="18">
        <f t="shared" si="176"/>
        <v>27936.870000000003</v>
      </c>
      <c r="AH66" s="19">
        <f t="shared" si="177"/>
        <v>-2063.1299999999974</v>
      </c>
      <c r="AI66" s="17">
        <f t="shared" si="178"/>
        <v>50000</v>
      </c>
      <c r="AJ66" s="18">
        <f t="shared" si="178"/>
        <v>27936.870000000003</v>
      </c>
      <c r="AK66" s="18">
        <f t="shared" si="178"/>
        <v>27936.870000000003</v>
      </c>
      <c r="AL66" s="19">
        <f t="shared" si="179"/>
        <v>-22063.129999999997</v>
      </c>
      <c r="AM66" s="17">
        <v>10000</v>
      </c>
      <c r="AN66" s="18">
        <f>697.5+930+2346</f>
        <v>3973.5</v>
      </c>
      <c r="AO66" s="18">
        <f>1627.5+2346</f>
        <v>3973.5</v>
      </c>
      <c r="AP66" s="20">
        <f t="shared" si="180"/>
        <v>-6026.5</v>
      </c>
      <c r="AQ66" s="17">
        <v>10000</v>
      </c>
      <c r="AR66" s="18">
        <v>3947.4</v>
      </c>
      <c r="AS66" s="18">
        <v>3947.4</v>
      </c>
      <c r="AT66" s="20">
        <f t="shared" si="181"/>
        <v>-6052.6</v>
      </c>
      <c r="AU66" s="17">
        <v>10000</v>
      </c>
      <c r="AV66" s="18">
        <f>2325+8426.55</f>
        <v>10751.55</v>
      </c>
      <c r="AW66" s="43">
        <f>2325+8426.55</f>
        <v>10751.55</v>
      </c>
      <c r="AX66" s="20">
        <f t="shared" si="182"/>
        <v>751.54999999999927</v>
      </c>
      <c r="AY66" s="17">
        <f t="shared" si="183"/>
        <v>30000</v>
      </c>
      <c r="AZ66" s="18">
        <f t="shared" si="183"/>
        <v>18672.449999999997</v>
      </c>
      <c r="BA66" s="18">
        <f t="shared" si="183"/>
        <v>18672.449999999997</v>
      </c>
      <c r="BB66" s="19">
        <f t="shared" si="184"/>
        <v>-11327.550000000003</v>
      </c>
      <c r="BC66" s="190">
        <f t="shared" si="185"/>
        <v>80000</v>
      </c>
      <c r="BD66" s="84">
        <f t="shared" si="185"/>
        <v>46609.32</v>
      </c>
      <c r="BE66" s="84">
        <f t="shared" si="185"/>
        <v>46609.32</v>
      </c>
      <c r="BF66" s="170">
        <f t="shared" si="186"/>
        <v>-33390.68</v>
      </c>
      <c r="BG66" s="83">
        <v>10000</v>
      </c>
      <c r="BH66" s="18"/>
      <c r="BI66" s="43"/>
      <c r="BJ66" s="41">
        <f t="shared" si="187"/>
        <v>-10000</v>
      </c>
      <c r="BK66" s="44">
        <v>5000</v>
      </c>
      <c r="BL66" s="43"/>
      <c r="BM66" s="43"/>
      <c r="BN66" s="41">
        <f t="shared" si="188"/>
        <v>-5000</v>
      </c>
      <c r="BO66" s="44">
        <v>5000</v>
      </c>
      <c r="BP66" s="43"/>
      <c r="BQ66" s="43"/>
      <c r="BR66" s="41">
        <f t="shared" si="189"/>
        <v>-5000</v>
      </c>
      <c r="BS66" s="17">
        <f t="shared" si="190"/>
        <v>20000</v>
      </c>
      <c r="BT66" s="18">
        <f t="shared" si="190"/>
        <v>0</v>
      </c>
      <c r="BU66" s="18">
        <f t="shared" si="190"/>
        <v>0</v>
      </c>
      <c r="BV66" s="20">
        <f t="shared" si="191"/>
        <v>-20000</v>
      </c>
      <c r="BW66" s="17">
        <f t="shared" si="192"/>
        <v>50000</v>
      </c>
      <c r="BX66" s="18">
        <f t="shared" si="192"/>
        <v>18672.449999999997</v>
      </c>
      <c r="BY66" s="18">
        <f t="shared" si="192"/>
        <v>18672.449999999997</v>
      </c>
      <c r="BZ66" s="20">
        <f t="shared" si="193"/>
        <v>-31327.550000000003</v>
      </c>
      <c r="CA66" s="17">
        <f t="shared" si="194"/>
        <v>100000</v>
      </c>
      <c r="CB66" s="18">
        <f t="shared" si="194"/>
        <v>46609.32</v>
      </c>
      <c r="CC66" s="18">
        <f t="shared" si="194"/>
        <v>46609.32</v>
      </c>
      <c r="CD66" s="20">
        <f t="shared" ref="CD66:CD74" si="196">CB66-CA66</f>
        <v>-53390.68</v>
      </c>
      <c r="CH66" s="3"/>
      <c r="CJ66" s="91">
        <f t="shared" si="195"/>
        <v>20000</v>
      </c>
      <c r="CK66" s="91">
        <f t="shared" si="195"/>
        <v>0</v>
      </c>
      <c r="CL66" s="91">
        <f t="shared" si="195"/>
        <v>0</v>
      </c>
      <c r="CM66" s="91">
        <f t="shared" si="195"/>
        <v>-20000</v>
      </c>
      <c r="CN66" s="91">
        <f t="shared" si="166"/>
        <v>100000</v>
      </c>
      <c r="CO66" s="91">
        <f t="shared" si="166"/>
        <v>46609.32</v>
      </c>
      <c r="CP66" s="91">
        <f t="shared" si="166"/>
        <v>46609.32</v>
      </c>
      <c r="CQ66" s="91">
        <f t="shared" si="166"/>
        <v>-53390.68</v>
      </c>
    </row>
    <row r="67" spans="1:95" ht="22.35" hidden="1" customHeight="1" outlineLevel="1" x14ac:dyDescent="0.3">
      <c r="A67" s="42">
        <v>7.3</v>
      </c>
      <c r="B67" s="28" t="s">
        <v>76</v>
      </c>
      <c r="C67" s="174"/>
      <c r="D67" s="18"/>
      <c r="E67" s="43"/>
      <c r="F67" s="170">
        <f t="shared" si="167"/>
        <v>0</v>
      </c>
      <c r="G67" s="83"/>
      <c r="H67" s="18"/>
      <c r="I67" s="18"/>
      <c r="J67" s="19">
        <f t="shared" si="168"/>
        <v>0</v>
      </c>
      <c r="K67" s="17"/>
      <c r="L67" s="18"/>
      <c r="M67" s="18"/>
      <c r="N67" s="19">
        <f t="shared" si="169"/>
        <v>0</v>
      </c>
      <c r="O67" s="17">
        <f t="shared" si="170"/>
        <v>0</v>
      </c>
      <c r="P67" s="43">
        <f t="shared" si="171"/>
        <v>0</v>
      </c>
      <c r="Q67" s="43">
        <f t="shared" si="171"/>
        <v>0</v>
      </c>
      <c r="R67" s="19">
        <f t="shared" si="172"/>
        <v>0</v>
      </c>
      <c r="S67" s="17"/>
      <c r="T67" s="18"/>
      <c r="U67" s="43"/>
      <c r="V67" s="19">
        <f t="shared" si="173"/>
        <v>0</v>
      </c>
      <c r="W67" s="17"/>
      <c r="X67" s="18"/>
      <c r="Y67" s="19"/>
      <c r="Z67" s="18">
        <f t="shared" si="174"/>
        <v>0</v>
      </c>
      <c r="AA67" s="83"/>
      <c r="AB67" s="18"/>
      <c r="AC67" s="43"/>
      <c r="AD67" s="19">
        <f t="shared" si="175"/>
        <v>0</v>
      </c>
      <c r="AE67" s="17">
        <f t="shared" si="176"/>
        <v>0</v>
      </c>
      <c r="AF67" s="18">
        <f t="shared" si="176"/>
        <v>0</v>
      </c>
      <c r="AG67" s="18">
        <f t="shared" si="176"/>
        <v>0</v>
      </c>
      <c r="AH67" s="19">
        <f t="shared" si="177"/>
        <v>0</v>
      </c>
      <c r="AI67" s="17">
        <f t="shared" si="178"/>
        <v>0</v>
      </c>
      <c r="AJ67" s="18">
        <f t="shared" si="178"/>
        <v>0</v>
      </c>
      <c r="AK67" s="18">
        <f t="shared" si="178"/>
        <v>0</v>
      </c>
      <c r="AL67" s="19">
        <f t="shared" si="179"/>
        <v>0</v>
      </c>
      <c r="AM67" s="17">
        <v>3000</v>
      </c>
      <c r="AN67" s="18"/>
      <c r="AO67" s="18"/>
      <c r="AP67" s="20">
        <f t="shared" si="180"/>
        <v>-3000</v>
      </c>
      <c r="AQ67" s="17">
        <v>3000</v>
      </c>
      <c r="AR67" s="18"/>
      <c r="AS67" s="18"/>
      <c r="AT67" s="20">
        <f t="shared" si="181"/>
        <v>-3000</v>
      </c>
      <c r="AU67" s="17">
        <v>3000</v>
      </c>
      <c r="AV67" s="18"/>
      <c r="AW67" s="43"/>
      <c r="AX67" s="20">
        <f t="shared" si="182"/>
        <v>-3000</v>
      </c>
      <c r="AY67" s="17">
        <f t="shared" si="183"/>
        <v>9000</v>
      </c>
      <c r="AZ67" s="18">
        <f t="shared" si="183"/>
        <v>0</v>
      </c>
      <c r="BA67" s="18">
        <f t="shared" si="183"/>
        <v>0</v>
      </c>
      <c r="BB67" s="19">
        <f t="shared" si="184"/>
        <v>-9000</v>
      </c>
      <c r="BC67" s="190">
        <f t="shared" si="185"/>
        <v>9000</v>
      </c>
      <c r="BD67" s="84">
        <f t="shared" si="185"/>
        <v>0</v>
      </c>
      <c r="BE67" s="84">
        <f t="shared" si="185"/>
        <v>0</v>
      </c>
      <c r="BF67" s="170">
        <f t="shared" si="186"/>
        <v>-9000</v>
      </c>
      <c r="BG67" s="83">
        <v>3000</v>
      </c>
      <c r="BH67" s="18"/>
      <c r="BI67" s="43"/>
      <c r="BJ67" s="41">
        <f t="shared" si="187"/>
        <v>-3000</v>
      </c>
      <c r="BK67" s="44">
        <v>3000</v>
      </c>
      <c r="BL67" s="43">
        <v>4500</v>
      </c>
      <c r="BM67" s="43">
        <v>4500</v>
      </c>
      <c r="BN67" s="41">
        <f t="shared" si="188"/>
        <v>1500</v>
      </c>
      <c r="BO67" s="44">
        <v>3000</v>
      </c>
      <c r="BP67" s="43"/>
      <c r="BQ67" s="43"/>
      <c r="BR67" s="41">
        <f t="shared" si="189"/>
        <v>-3000</v>
      </c>
      <c r="BS67" s="17">
        <f t="shared" si="190"/>
        <v>9000</v>
      </c>
      <c r="BT67" s="18">
        <f t="shared" si="190"/>
        <v>4500</v>
      </c>
      <c r="BU67" s="18">
        <f t="shared" si="190"/>
        <v>4500</v>
      </c>
      <c r="BV67" s="20">
        <f t="shared" si="191"/>
        <v>-4500</v>
      </c>
      <c r="BW67" s="17">
        <f t="shared" si="192"/>
        <v>18000</v>
      </c>
      <c r="BX67" s="18">
        <f t="shared" si="192"/>
        <v>4500</v>
      </c>
      <c r="BY67" s="18">
        <f t="shared" si="192"/>
        <v>4500</v>
      </c>
      <c r="BZ67" s="20">
        <f t="shared" si="193"/>
        <v>-13500</v>
      </c>
      <c r="CA67" s="17">
        <f t="shared" si="194"/>
        <v>18000</v>
      </c>
      <c r="CB67" s="18">
        <f t="shared" si="194"/>
        <v>4500</v>
      </c>
      <c r="CC67" s="18">
        <f t="shared" si="194"/>
        <v>4500</v>
      </c>
      <c r="CD67" s="20">
        <f t="shared" si="196"/>
        <v>-13500</v>
      </c>
      <c r="CH67" s="3"/>
      <c r="CJ67" s="91">
        <f t="shared" si="195"/>
        <v>9000</v>
      </c>
      <c r="CK67" s="91">
        <f t="shared" si="195"/>
        <v>4500</v>
      </c>
      <c r="CL67" s="91">
        <f t="shared" si="195"/>
        <v>4500</v>
      </c>
      <c r="CM67" s="91">
        <f t="shared" si="195"/>
        <v>-4500</v>
      </c>
      <c r="CN67" s="91">
        <f t="shared" si="166"/>
        <v>18000</v>
      </c>
      <c r="CO67" s="91">
        <f t="shared" si="166"/>
        <v>4500</v>
      </c>
      <c r="CP67" s="91">
        <f t="shared" si="166"/>
        <v>4500</v>
      </c>
      <c r="CQ67" s="91">
        <f t="shared" si="166"/>
        <v>-13500</v>
      </c>
    </row>
    <row r="68" spans="1:95" ht="20.45" hidden="1" customHeight="1" outlineLevel="1" x14ac:dyDescent="0.3">
      <c r="A68" s="42">
        <v>7.4</v>
      </c>
      <c r="B68" s="28" t="s">
        <v>77</v>
      </c>
      <c r="C68" s="174">
        <v>40000</v>
      </c>
      <c r="D68" s="25"/>
      <c r="E68" s="25"/>
      <c r="F68" s="170">
        <f t="shared" si="167"/>
        <v>-40000</v>
      </c>
      <c r="G68" s="83">
        <v>40000</v>
      </c>
      <c r="H68" s="17"/>
      <c r="I68" s="17">
        <v>2000</v>
      </c>
      <c r="J68" s="19">
        <f t="shared" si="168"/>
        <v>-40000</v>
      </c>
      <c r="K68" s="17">
        <v>40000</v>
      </c>
      <c r="L68" s="18"/>
      <c r="M68" s="18"/>
      <c r="N68" s="19">
        <f t="shared" si="169"/>
        <v>-40000</v>
      </c>
      <c r="O68" s="17">
        <f t="shared" si="170"/>
        <v>120000</v>
      </c>
      <c r="P68" s="43">
        <f t="shared" si="171"/>
        <v>0</v>
      </c>
      <c r="Q68" s="43">
        <f t="shared" si="171"/>
        <v>2000</v>
      </c>
      <c r="R68" s="19">
        <f t="shared" si="172"/>
        <v>-120000</v>
      </c>
      <c r="S68" s="17">
        <v>40000</v>
      </c>
      <c r="T68" s="18"/>
      <c r="U68" s="43"/>
      <c r="V68" s="19">
        <f t="shared" si="173"/>
        <v>-40000</v>
      </c>
      <c r="W68" s="17">
        <v>40000</v>
      </c>
      <c r="X68" s="18">
        <v>8000</v>
      </c>
      <c r="Y68" s="37">
        <f>8000-6136.8</f>
        <v>1863.1999999999998</v>
      </c>
      <c r="Z68" s="18">
        <f t="shared" si="174"/>
        <v>-32000</v>
      </c>
      <c r="AA68" s="83">
        <v>40000</v>
      </c>
      <c r="AB68" s="18">
        <v>2856</v>
      </c>
      <c r="AC68" s="43">
        <v>2856</v>
      </c>
      <c r="AD68" s="19">
        <f t="shared" si="175"/>
        <v>-37144</v>
      </c>
      <c r="AE68" s="17">
        <f t="shared" si="176"/>
        <v>120000</v>
      </c>
      <c r="AF68" s="18">
        <f t="shared" si="176"/>
        <v>10856</v>
      </c>
      <c r="AG68" s="18">
        <f t="shared" si="176"/>
        <v>4719.2</v>
      </c>
      <c r="AH68" s="19">
        <f t="shared" si="177"/>
        <v>-109144</v>
      </c>
      <c r="AI68" s="17">
        <f t="shared" si="178"/>
        <v>240000</v>
      </c>
      <c r="AJ68" s="18">
        <f t="shared" si="178"/>
        <v>10856</v>
      </c>
      <c r="AK68" s="18">
        <f t="shared" si="178"/>
        <v>6719.2</v>
      </c>
      <c r="AL68" s="19">
        <f t="shared" si="179"/>
        <v>-229144</v>
      </c>
      <c r="AM68" s="17">
        <v>40000</v>
      </c>
      <c r="AN68" s="18">
        <f>10000+4064.4+3390</f>
        <v>17454.400000000001</v>
      </c>
      <c r="AO68" s="18">
        <v>17454.400000000001</v>
      </c>
      <c r="AP68" s="20">
        <f t="shared" si="180"/>
        <v>-22545.599999999999</v>
      </c>
      <c r="AQ68" s="17">
        <v>40000</v>
      </c>
      <c r="AR68" s="18">
        <f>13143.6+13143.6+12589.2</f>
        <v>38876.400000000001</v>
      </c>
      <c r="AS68" s="43">
        <v>61422.400000000001</v>
      </c>
      <c r="AT68" s="20">
        <f t="shared" si="181"/>
        <v>-1123.5999999999985</v>
      </c>
      <c r="AU68" s="17">
        <v>40000</v>
      </c>
      <c r="AV68" s="18">
        <f>12500+2500+5000+6774+28200</f>
        <v>54974</v>
      </c>
      <c r="AW68" s="43">
        <v>69252.800000000003</v>
      </c>
      <c r="AX68" s="20">
        <f t="shared" si="182"/>
        <v>14974</v>
      </c>
      <c r="AY68" s="17">
        <f t="shared" si="183"/>
        <v>120000</v>
      </c>
      <c r="AZ68" s="18">
        <f t="shared" si="183"/>
        <v>111304.8</v>
      </c>
      <c r="BA68" s="18">
        <f t="shared" si="183"/>
        <v>148129.60000000001</v>
      </c>
      <c r="BB68" s="19">
        <f t="shared" si="184"/>
        <v>-8695.1999999999971</v>
      </c>
      <c r="BC68" s="190">
        <f t="shared" si="185"/>
        <v>360000</v>
      </c>
      <c r="BD68" s="84">
        <f t="shared" si="185"/>
        <v>122160.8</v>
      </c>
      <c r="BE68" s="84">
        <f t="shared" si="185"/>
        <v>154848.80000000002</v>
      </c>
      <c r="BF68" s="170">
        <f t="shared" si="186"/>
        <v>-237839.2</v>
      </c>
      <c r="BG68" s="83">
        <v>40000</v>
      </c>
      <c r="BH68" s="43">
        <v>36420</v>
      </c>
      <c r="BI68" s="43">
        <f>9686+2500</f>
        <v>12186</v>
      </c>
      <c r="BJ68" s="41">
        <f t="shared" si="187"/>
        <v>-3580</v>
      </c>
      <c r="BK68" s="44">
        <v>40000</v>
      </c>
      <c r="BL68" s="43">
        <f>2500+2500+16014</f>
        <v>21014</v>
      </c>
      <c r="BM68" s="43">
        <v>5000</v>
      </c>
      <c r="BN68" s="41">
        <f t="shared" si="188"/>
        <v>-18986</v>
      </c>
      <c r="BO68" s="44">
        <v>40000</v>
      </c>
      <c r="BP68" s="43">
        <f>1500+1500+6000+2000+1000</f>
        <v>12000</v>
      </c>
      <c r="BQ68" s="43">
        <v>19560</v>
      </c>
      <c r="BR68" s="41">
        <f t="shared" si="189"/>
        <v>-28000</v>
      </c>
      <c r="BS68" s="17">
        <f t="shared" si="190"/>
        <v>120000</v>
      </c>
      <c r="BT68" s="18">
        <f t="shared" si="190"/>
        <v>69434</v>
      </c>
      <c r="BU68" s="18">
        <f t="shared" si="190"/>
        <v>36746</v>
      </c>
      <c r="BV68" s="20">
        <f t="shared" si="191"/>
        <v>-50566</v>
      </c>
      <c r="BW68" s="17">
        <f t="shared" si="192"/>
        <v>240000</v>
      </c>
      <c r="BX68" s="18">
        <f t="shared" si="192"/>
        <v>180738.8</v>
      </c>
      <c r="BY68" s="18">
        <f t="shared" si="192"/>
        <v>184875.6</v>
      </c>
      <c r="BZ68" s="20">
        <f t="shared" si="193"/>
        <v>-59261.200000000012</v>
      </c>
      <c r="CA68" s="17">
        <f t="shared" si="194"/>
        <v>480000</v>
      </c>
      <c r="CB68" s="18">
        <f t="shared" si="194"/>
        <v>191594.8</v>
      </c>
      <c r="CC68" s="18">
        <f t="shared" si="194"/>
        <v>191594.80000000002</v>
      </c>
      <c r="CD68" s="20">
        <f t="shared" si="196"/>
        <v>-288405.2</v>
      </c>
      <c r="CF68" s="3"/>
      <c r="CH68" s="3"/>
      <c r="CJ68" s="91">
        <f t="shared" si="195"/>
        <v>120000</v>
      </c>
      <c r="CK68" s="91">
        <f t="shared" si="195"/>
        <v>69434</v>
      </c>
      <c r="CL68" s="91">
        <f t="shared" si="195"/>
        <v>36746</v>
      </c>
      <c r="CM68" s="91">
        <f t="shared" si="195"/>
        <v>-50566</v>
      </c>
      <c r="CN68" s="91">
        <f t="shared" si="166"/>
        <v>480000</v>
      </c>
      <c r="CO68" s="91">
        <f t="shared" si="166"/>
        <v>191594.8</v>
      </c>
      <c r="CP68" s="91">
        <f t="shared" si="166"/>
        <v>191594.80000000002</v>
      </c>
      <c r="CQ68" s="91">
        <f t="shared" si="166"/>
        <v>-288405.2</v>
      </c>
    </row>
    <row r="69" spans="1:95" ht="19.5" hidden="1" customHeight="1" outlineLevel="1" x14ac:dyDescent="0.3">
      <c r="A69" s="42">
        <v>7.5</v>
      </c>
      <c r="B69" s="28" t="s">
        <v>78</v>
      </c>
      <c r="C69" s="168"/>
      <c r="D69" s="18"/>
      <c r="E69" s="43"/>
      <c r="F69" s="170">
        <f t="shared" si="167"/>
        <v>0</v>
      </c>
      <c r="G69" s="83"/>
      <c r="H69" s="18">
        <f>20000</f>
        <v>20000</v>
      </c>
      <c r="I69" s="18">
        <f>20000+40000</f>
        <v>60000</v>
      </c>
      <c r="J69" s="19">
        <f t="shared" si="168"/>
        <v>20000</v>
      </c>
      <c r="K69" s="17"/>
      <c r="L69" s="18">
        <f>20000+20000</f>
        <v>40000</v>
      </c>
      <c r="M69" s="18"/>
      <c r="N69" s="19">
        <f t="shared" si="169"/>
        <v>40000</v>
      </c>
      <c r="O69" s="17">
        <f t="shared" si="170"/>
        <v>0</v>
      </c>
      <c r="P69" s="43">
        <f t="shared" si="171"/>
        <v>60000</v>
      </c>
      <c r="Q69" s="43">
        <f t="shared" si="171"/>
        <v>60000</v>
      </c>
      <c r="R69" s="19">
        <f t="shared" si="172"/>
        <v>60000</v>
      </c>
      <c r="S69" s="17"/>
      <c r="T69" s="18"/>
      <c r="U69" s="43"/>
      <c r="V69" s="19">
        <f t="shared" si="173"/>
        <v>0</v>
      </c>
      <c r="W69" s="17"/>
      <c r="X69" s="18"/>
      <c r="Y69" s="37"/>
      <c r="Z69" s="18">
        <f t="shared" si="174"/>
        <v>0</v>
      </c>
      <c r="AA69" s="83"/>
      <c r="AB69" s="18"/>
      <c r="AC69" s="43"/>
      <c r="AD69" s="19">
        <f t="shared" si="175"/>
        <v>0</v>
      </c>
      <c r="AE69" s="17">
        <f t="shared" si="176"/>
        <v>0</v>
      </c>
      <c r="AF69" s="18">
        <f t="shared" si="176"/>
        <v>0</v>
      </c>
      <c r="AG69" s="18">
        <f t="shared" si="176"/>
        <v>0</v>
      </c>
      <c r="AH69" s="19">
        <f t="shared" si="177"/>
        <v>0</v>
      </c>
      <c r="AI69" s="17">
        <f t="shared" si="178"/>
        <v>0</v>
      </c>
      <c r="AJ69" s="18">
        <f t="shared" si="178"/>
        <v>60000</v>
      </c>
      <c r="AK69" s="18">
        <f t="shared" si="178"/>
        <v>60000</v>
      </c>
      <c r="AL69" s="19">
        <f t="shared" si="179"/>
        <v>60000</v>
      </c>
      <c r="AM69" s="17"/>
      <c r="AN69" s="18"/>
      <c r="AO69" s="18"/>
      <c r="AP69" s="20">
        <f t="shared" si="180"/>
        <v>0</v>
      </c>
      <c r="AQ69" s="17"/>
      <c r="AR69" s="18">
        <v>2580</v>
      </c>
      <c r="AS69" s="43">
        <v>2580</v>
      </c>
      <c r="AT69" s="20">
        <f t="shared" si="181"/>
        <v>2580</v>
      </c>
      <c r="AU69" s="17"/>
      <c r="AV69" s="18"/>
      <c r="AW69" s="43"/>
      <c r="AX69" s="20">
        <f t="shared" si="182"/>
        <v>0</v>
      </c>
      <c r="AY69" s="17">
        <f t="shared" si="183"/>
        <v>0</v>
      </c>
      <c r="AZ69" s="18">
        <f t="shared" si="183"/>
        <v>2580</v>
      </c>
      <c r="BA69" s="18">
        <f t="shared" si="183"/>
        <v>2580</v>
      </c>
      <c r="BB69" s="19">
        <f t="shared" si="184"/>
        <v>2580</v>
      </c>
      <c r="BC69" s="190">
        <f t="shared" si="185"/>
        <v>0</v>
      </c>
      <c r="BD69" s="84">
        <f t="shared" si="185"/>
        <v>62580</v>
      </c>
      <c r="BE69" s="84">
        <f t="shared" si="185"/>
        <v>62580</v>
      </c>
      <c r="BF69" s="170">
        <f t="shared" si="186"/>
        <v>62580</v>
      </c>
      <c r="BG69" s="83"/>
      <c r="BH69" s="18"/>
      <c r="BI69" s="43"/>
      <c r="BJ69" s="41">
        <f t="shared" si="187"/>
        <v>0</v>
      </c>
      <c r="BK69" s="44"/>
      <c r="BL69" s="43">
        <v>10000</v>
      </c>
      <c r="BM69" s="43">
        <v>10000</v>
      </c>
      <c r="BN69" s="41">
        <f t="shared" si="188"/>
        <v>10000</v>
      </c>
      <c r="BO69" s="44"/>
      <c r="BP69" s="43"/>
      <c r="BQ69" s="43"/>
      <c r="BR69" s="41">
        <f t="shared" si="189"/>
        <v>0</v>
      </c>
      <c r="BS69" s="17">
        <f t="shared" si="190"/>
        <v>0</v>
      </c>
      <c r="BT69" s="18">
        <f t="shared" si="190"/>
        <v>10000</v>
      </c>
      <c r="BU69" s="18">
        <f t="shared" si="190"/>
        <v>10000</v>
      </c>
      <c r="BV69" s="20">
        <f t="shared" si="191"/>
        <v>10000</v>
      </c>
      <c r="BW69" s="17">
        <f t="shared" si="192"/>
        <v>0</v>
      </c>
      <c r="BX69" s="18">
        <f t="shared" si="192"/>
        <v>12580</v>
      </c>
      <c r="BY69" s="18">
        <f t="shared" si="192"/>
        <v>12580</v>
      </c>
      <c r="BZ69" s="20">
        <f t="shared" si="193"/>
        <v>12580</v>
      </c>
      <c r="CA69" s="17">
        <f t="shared" si="194"/>
        <v>0</v>
      </c>
      <c r="CB69" s="18">
        <f t="shared" si="194"/>
        <v>72580</v>
      </c>
      <c r="CC69" s="18">
        <f t="shared" si="194"/>
        <v>72580</v>
      </c>
      <c r="CD69" s="20">
        <f t="shared" si="196"/>
        <v>72580</v>
      </c>
      <c r="CH69" s="3"/>
      <c r="CJ69" s="91">
        <f t="shared" si="195"/>
        <v>0</v>
      </c>
      <c r="CK69" s="91">
        <f t="shared" si="195"/>
        <v>10000</v>
      </c>
      <c r="CL69" s="91">
        <f t="shared" si="195"/>
        <v>10000</v>
      </c>
      <c r="CM69" s="91">
        <f t="shared" si="195"/>
        <v>10000</v>
      </c>
      <c r="CN69" s="91">
        <f t="shared" si="166"/>
        <v>0</v>
      </c>
      <c r="CO69" s="91">
        <f t="shared" si="166"/>
        <v>72580</v>
      </c>
      <c r="CP69" s="91">
        <f t="shared" si="166"/>
        <v>72580</v>
      </c>
      <c r="CQ69" s="91">
        <f t="shared" si="166"/>
        <v>72580</v>
      </c>
    </row>
    <row r="70" spans="1:95" ht="24" hidden="1" customHeight="1" outlineLevel="1" x14ac:dyDescent="0.3">
      <c r="A70" s="42">
        <v>8.6</v>
      </c>
      <c r="B70" s="28" t="s">
        <v>154</v>
      </c>
      <c r="C70" s="168"/>
      <c r="D70" s="18"/>
      <c r="E70" s="43"/>
      <c r="F70" s="170">
        <f t="shared" si="167"/>
        <v>0</v>
      </c>
      <c r="G70" s="83"/>
      <c r="H70" s="18"/>
      <c r="I70" s="18"/>
      <c r="J70" s="19">
        <f t="shared" si="168"/>
        <v>0</v>
      </c>
      <c r="K70" s="17"/>
      <c r="L70" s="18"/>
      <c r="M70" s="18"/>
      <c r="N70" s="19">
        <f t="shared" si="169"/>
        <v>0</v>
      </c>
      <c r="O70" s="17">
        <f t="shared" si="170"/>
        <v>0</v>
      </c>
      <c r="P70" s="43">
        <f t="shared" si="171"/>
        <v>0</v>
      </c>
      <c r="Q70" s="43">
        <f t="shared" si="171"/>
        <v>0</v>
      </c>
      <c r="R70" s="19">
        <f t="shared" si="172"/>
        <v>0</v>
      </c>
      <c r="S70" s="17"/>
      <c r="T70" s="18"/>
      <c r="U70" s="43"/>
      <c r="V70" s="19">
        <f t="shared" si="173"/>
        <v>0</v>
      </c>
      <c r="W70" s="17"/>
      <c r="X70" s="18"/>
      <c r="Y70" s="37"/>
      <c r="Z70" s="18">
        <f t="shared" si="174"/>
        <v>0</v>
      </c>
      <c r="AA70" s="83"/>
      <c r="AB70" s="18"/>
      <c r="AC70" s="43"/>
      <c r="AD70" s="19">
        <f t="shared" si="175"/>
        <v>0</v>
      </c>
      <c r="AE70" s="17">
        <f t="shared" si="176"/>
        <v>0</v>
      </c>
      <c r="AF70" s="18">
        <f t="shared" si="176"/>
        <v>0</v>
      </c>
      <c r="AG70" s="18">
        <f t="shared" si="176"/>
        <v>0</v>
      </c>
      <c r="AH70" s="19">
        <f t="shared" si="177"/>
        <v>0</v>
      </c>
      <c r="AI70" s="17">
        <f t="shared" si="178"/>
        <v>0</v>
      </c>
      <c r="AJ70" s="18">
        <f t="shared" si="178"/>
        <v>0</v>
      </c>
      <c r="AK70" s="18">
        <f t="shared" si="178"/>
        <v>0</v>
      </c>
      <c r="AL70" s="19">
        <f t="shared" si="179"/>
        <v>0</v>
      </c>
      <c r="AM70" s="17"/>
      <c r="AN70" s="18"/>
      <c r="AO70" s="18"/>
      <c r="AP70" s="20">
        <f t="shared" si="180"/>
        <v>0</v>
      </c>
      <c r="AQ70" s="17"/>
      <c r="AR70" s="18"/>
      <c r="AS70" s="43"/>
      <c r="AT70" s="20">
        <f t="shared" si="181"/>
        <v>0</v>
      </c>
      <c r="AU70" s="17"/>
      <c r="AV70" s="43"/>
      <c r="AW70" s="43"/>
      <c r="AX70" s="20">
        <f t="shared" si="182"/>
        <v>0</v>
      </c>
      <c r="AY70" s="17">
        <f t="shared" si="183"/>
        <v>0</v>
      </c>
      <c r="AZ70" s="18">
        <f t="shared" si="183"/>
        <v>0</v>
      </c>
      <c r="BA70" s="18">
        <f t="shared" si="183"/>
        <v>0</v>
      </c>
      <c r="BB70" s="19">
        <f t="shared" si="184"/>
        <v>0</v>
      </c>
      <c r="BC70" s="190">
        <f t="shared" si="185"/>
        <v>0</v>
      </c>
      <c r="BD70" s="84">
        <f t="shared" si="185"/>
        <v>0</v>
      </c>
      <c r="BE70" s="84">
        <f t="shared" si="185"/>
        <v>0</v>
      </c>
      <c r="BF70" s="170">
        <f t="shared" si="186"/>
        <v>0</v>
      </c>
      <c r="BG70" s="83"/>
      <c r="BH70" s="18"/>
      <c r="BI70" s="43"/>
      <c r="BJ70" s="41">
        <f t="shared" si="187"/>
        <v>0</v>
      </c>
      <c r="BK70" s="44"/>
      <c r="BL70" s="43"/>
      <c r="BM70" s="43"/>
      <c r="BN70" s="41">
        <f t="shared" si="188"/>
        <v>0</v>
      </c>
      <c r="BO70" s="44"/>
      <c r="BP70" s="43"/>
      <c r="BQ70" s="43"/>
      <c r="BR70" s="41">
        <f t="shared" si="189"/>
        <v>0</v>
      </c>
      <c r="BS70" s="17">
        <f t="shared" si="190"/>
        <v>0</v>
      </c>
      <c r="BT70" s="18">
        <f t="shared" si="190"/>
        <v>0</v>
      </c>
      <c r="BU70" s="18">
        <f t="shared" si="190"/>
        <v>0</v>
      </c>
      <c r="BV70" s="20">
        <f t="shared" si="191"/>
        <v>0</v>
      </c>
      <c r="BW70" s="17">
        <f t="shared" si="192"/>
        <v>0</v>
      </c>
      <c r="BX70" s="18">
        <f t="shared" si="192"/>
        <v>0</v>
      </c>
      <c r="BY70" s="18">
        <f t="shared" si="192"/>
        <v>0</v>
      </c>
      <c r="BZ70" s="20">
        <f t="shared" si="193"/>
        <v>0</v>
      </c>
      <c r="CA70" s="17">
        <f t="shared" si="194"/>
        <v>0</v>
      </c>
      <c r="CB70" s="18">
        <f t="shared" si="194"/>
        <v>0</v>
      </c>
      <c r="CC70" s="18">
        <f t="shared" si="194"/>
        <v>0</v>
      </c>
      <c r="CD70" s="20">
        <f t="shared" si="196"/>
        <v>0</v>
      </c>
      <c r="CH70" s="3"/>
      <c r="CJ70" s="91">
        <f t="shared" si="195"/>
        <v>0</v>
      </c>
      <c r="CK70" s="91">
        <f t="shared" si="195"/>
        <v>0</v>
      </c>
      <c r="CL70" s="91">
        <f t="shared" si="195"/>
        <v>0</v>
      </c>
      <c r="CM70" s="91">
        <f t="shared" si="195"/>
        <v>0</v>
      </c>
      <c r="CN70" s="91">
        <f t="shared" si="166"/>
        <v>0</v>
      </c>
      <c r="CO70" s="91">
        <f t="shared" si="166"/>
        <v>0</v>
      </c>
      <c r="CP70" s="91">
        <f t="shared" si="166"/>
        <v>0</v>
      </c>
      <c r="CQ70" s="91">
        <f t="shared" si="166"/>
        <v>0</v>
      </c>
    </row>
    <row r="71" spans="1:95" ht="25.5" hidden="1" outlineLevel="1" x14ac:dyDescent="0.3">
      <c r="A71" s="42">
        <v>7.6</v>
      </c>
      <c r="B71" s="28" t="s">
        <v>79</v>
      </c>
      <c r="C71" s="174">
        <v>3700</v>
      </c>
      <c r="D71" s="18">
        <v>4000</v>
      </c>
      <c r="E71" s="43">
        <v>4000</v>
      </c>
      <c r="F71" s="170">
        <f t="shared" si="167"/>
        <v>300</v>
      </c>
      <c r="G71" s="83">
        <v>3700</v>
      </c>
      <c r="H71" s="18">
        <f>4000+4000</f>
        <v>8000</v>
      </c>
      <c r="I71" s="18">
        <v>4000</v>
      </c>
      <c r="J71" s="19">
        <f t="shared" si="168"/>
        <v>4300</v>
      </c>
      <c r="K71" s="17">
        <v>3700</v>
      </c>
      <c r="L71" s="18"/>
      <c r="M71" s="18"/>
      <c r="N71" s="19">
        <f t="shared" si="169"/>
        <v>-3700</v>
      </c>
      <c r="O71" s="17">
        <f t="shared" si="170"/>
        <v>11100</v>
      </c>
      <c r="P71" s="43">
        <f t="shared" si="171"/>
        <v>12000</v>
      </c>
      <c r="Q71" s="43">
        <f t="shared" si="171"/>
        <v>8000</v>
      </c>
      <c r="R71" s="19">
        <f t="shared" si="172"/>
        <v>900</v>
      </c>
      <c r="S71" s="17">
        <v>3700</v>
      </c>
      <c r="T71" s="18"/>
      <c r="U71" s="43"/>
      <c r="V71" s="19">
        <f t="shared" si="173"/>
        <v>-3700</v>
      </c>
      <c r="W71" s="17">
        <v>3700</v>
      </c>
      <c r="X71" s="18"/>
      <c r="Y71" s="37"/>
      <c r="Z71" s="18">
        <f t="shared" si="174"/>
        <v>-3700</v>
      </c>
      <c r="AA71" s="83">
        <v>3700</v>
      </c>
      <c r="AB71" s="43"/>
      <c r="AC71" s="43"/>
      <c r="AD71" s="19">
        <f t="shared" si="175"/>
        <v>-3700</v>
      </c>
      <c r="AE71" s="17">
        <f t="shared" si="176"/>
        <v>11100</v>
      </c>
      <c r="AF71" s="18">
        <f t="shared" si="176"/>
        <v>0</v>
      </c>
      <c r="AG71" s="18">
        <f t="shared" si="176"/>
        <v>0</v>
      </c>
      <c r="AH71" s="19">
        <f t="shared" si="177"/>
        <v>-11100</v>
      </c>
      <c r="AI71" s="17">
        <f t="shared" si="178"/>
        <v>22200</v>
      </c>
      <c r="AJ71" s="18">
        <f t="shared" si="178"/>
        <v>12000</v>
      </c>
      <c r="AK71" s="18">
        <f t="shared" si="178"/>
        <v>8000</v>
      </c>
      <c r="AL71" s="19">
        <f t="shared" si="179"/>
        <v>-10200</v>
      </c>
      <c r="AM71" s="17">
        <v>3700</v>
      </c>
      <c r="AN71" s="18"/>
      <c r="AO71" s="18"/>
      <c r="AP71" s="20">
        <f t="shared" si="180"/>
        <v>-3700</v>
      </c>
      <c r="AQ71" s="17">
        <v>3700</v>
      </c>
      <c r="AR71" s="18">
        <v>321.54000000000002</v>
      </c>
      <c r="AS71" s="43"/>
      <c r="AT71" s="20">
        <f t="shared" si="181"/>
        <v>-3378.46</v>
      </c>
      <c r="AU71" s="17">
        <v>3700</v>
      </c>
      <c r="AV71" s="18"/>
      <c r="AW71" s="43"/>
      <c r="AX71" s="20">
        <f t="shared" si="182"/>
        <v>-3700</v>
      </c>
      <c r="AY71" s="17">
        <f t="shared" si="183"/>
        <v>11100</v>
      </c>
      <c r="AZ71" s="18">
        <f t="shared" si="183"/>
        <v>321.54000000000002</v>
      </c>
      <c r="BA71" s="18">
        <f t="shared" si="183"/>
        <v>0</v>
      </c>
      <c r="BB71" s="19">
        <f t="shared" si="184"/>
        <v>-10778.46</v>
      </c>
      <c r="BC71" s="190">
        <f t="shared" si="185"/>
        <v>33300</v>
      </c>
      <c r="BD71" s="84">
        <f t="shared" si="185"/>
        <v>12321.54</v>
      </c>
      <c r="BE71" s="84">
        <f t="shared" si="185"/>
        <v>8000</v>
      </c>
      <c r="BF71" s="170">
        <f t="shared" si="186"/>
        <v>-20978.46</v>
      </c>
      <c r="BG71" s="83">
        <v>3700</v>
      </c>
      <c r="BH71" s="18">
        <v>8000</v>
      </c>
      <c r="BI71" s="43">
        <v>8000</v>
      </c>
      <c r="BJ71" s="41">
        <f t="shared" si="187"/>
        <v>4300</v>
      </c>
      <c r="BK71" s="44">
        <v>3700</v>
      </c>
      <c r="BL71" s="43">
        <v>15066</v>
      </c>
      <c r="BM71" s="43">
        <v>24740</v>
      </c>
      <c r="BN71" s="41">
        <f t="shared" si="188"/>
        <v>11366</v>
      </c>
      <c r="BO71" s="44">
        <v>3700</v>
      </c>
      <c r="BP71" s="43">
        <v>4134</v>
      </c>
      <c r="BQ71" s="43">
        <v>4134</v>
      </c>
      <c r="BR71" s="41">
        <f t="shared" si="189"/>
        <v>434</v>
      </c>
      <c r="BS71" s="17">
        <f t="shared" si="190"/>
        <v>11100</v>
      </c>
      <c r="BT71" s="18">
        <f t="shared" si="190"/>
        <v>27200</v>
      </c>
      <c r="BU71" s="18">
        <f t="shared" si="190"/>
        <v>36874</v>
      </c>
      <c r="BV71" s="20">
        <f t="shared" si="191"/>
        <v>16100</v>
      </c>
      <c r="BW71" s="17">
        <f t="shared" si="192"/>
        <v>22200</v>
      </c>
      <c r="BX71" s="18">
        <f t="shared" si="192"/>
        <v>27521.54</v>
      </c>
      <c r="BY71" s="18">
        <f t="shared" si="192"/>
        <v>36874</v>
      </c>
      <c r="BZ71" s="20">
        <f t="shared" si="193"/>
        <v>5321.5400000000009</v>
      </c>
      <c r="CA71" s="17">
        <f t="shared" si="194"/>
        <v>44400</v>
      </c>
      <c r="CB71" s="18">
        <f t="shared" si="194"/>
        <v>39521.54</v>
      </c>
      <c r="CC71" s="18">
        <f t="shared" si="194"/>
        <v>44874</v>
      </c>
      <c r="CD71" s="20">
        <f t="shared" si="196"/>
        <v>-4878.4599999999991</v>
      </c>
      <c r="CH71" s="3"/>
      <c r="CJ71" s="91">
        <f t="shared" si="195"/>
        <v>11100</v>
      </c>
      <c r="CK71" s="91">
        <f t="shared" si="195"/>
        <v>27200</v>
      </c>
      <c r="CL71" s="91">
        <f t="shared" si="195"/>
        <v>36874</v>
      </c>
      <c r="CM71" s="91">
        <f t="shared" si="195"/>
        <v>16100</v>
      </c>
      <c r="CN71" s="91">
        <f t="shared" si="166"/>
        <v>44400</v>
      </c>
      <c r="CO71" s="91">
        <f t="shared" si="166"/>
        <v>39521.54</v>
      </c>
      <c r="CP71" s="91">
        <f t="shared" si="166"/>
        <v>44874</v>
      </c>
      <c r="CQ71" s="91">
        <f t="shared" si="166"/>
        <v>-4878.4599999999991</v>
      </c>
    </row>
    <row r="72" spans="1:95" ht="16.5" hidden="1" outlineLevel="1" x14ac:dyDescent="0.3">
      <c r="A72" s="42">
        <v>7.7</v>
      </c>
      <c r="B72" s="28" t="s">
        <v>164</v>
      </c>
      <c r="C72" s="174">
        <v>415000</v>
      </c>
      <c r="D72" s="18">
        <v>101450</v>
      </c>
      <c r="E72" s="43">
        <v>101475</v>
      </c>
      <c r="F72" s="170">
        <f t="shared" si="167"/>
        <v>-313550</v>
      </c>
      <c r="G72" s="83">
        <v>126825</v>
      </c>
      <c r="H72" s="18"/>
      <c r="I72" s="18"/>
      <c r="J72" s="19">
        <f t="shared" si="168"/>
        <v>-126825</v>
      </c>
      <c r="K72" s="17"/>
      <c r="L72" s="18"/>
      <c r="M72" s="18"/>
      <c r="N72" s="19">
        <f t="shared" si="169"/>
        <v>0</v>
      </c>
      <c r="O72" s="17">
        <f t="shared" si="170"/>
        <v>541825</v>
      </c>
      <c r="P72" s="43">
        <f t="shared" si="171"/>
        <v>101450</v>
      </c>
      <c r="Q72" s="43">
        <f t="shared" si="171"/>
        <v>101475</v>
      </c>
      <c r="R72" s="19">
        <f t="shared" si="172"/>
        <v>-440375</v>
      </c>
      <c r="S72" s="17">
        <v>80000</v>
      </c>
      <c r="T72" s="18">
        <v>101450</v>
      </c>
      <c r="U72" s="43"/>
      <c r="V72" s="19">
        <f t="shared" si="173"/>
        <v>21450</v>
      </c>
      <c r="W72" s="17">
        <v>25000</v>
      </c>
      <c r="X72" s="18"/>
      <c r="Y72" s="37">
        <v>101425</v>
      </c>
      <c r="Z72" s="18">
        <f t="shared" si="174"/>
        <v>-25000</v>
      </c>
      <c r="AA72" s="83">
        <v>30000</v>
      </c>
      <c r="AB72" s="18"/>
      <c r="AC72" s="43"/>
      <c r="AD72" s="19">
        <f t="shared" si="175"/>
        <v>-30000</v>
      </c>
      <c r="AE72" s="17">
        <f t="shared" si="176"/>
        <v>135000</v>
      </c>
      <c r="AF72" s="18">
        <f t="shared" si="176"/>
        <v>101450</v>
      </c>
      <c r="AG72" s="18">
        <f t="shared" si="176"/>
        <v>101425</v>
      </c>
      <c r="AH72" s="19">
        <f t="shared" si="177"/>
        <v>-33550</v>
      </c>
      <c r="AI72" s="17">
        <f t="shared" si="178"/>
        <v>676825</v>
      </c>
      <c r="AJ72" s="18">
        <f t="shared" si="178"/>
        <v>202900</v>
      </c>
      <c r="AK72" s="18">
        <f t="shared" si="178"/>
        <v>202900</v>
      </c>
      <c r="AL72" s="19">
        <f t="shared" si="179"/>
        <v>-473925</v>
      </c>
      <c r="AM72" s="17"/>
      <c r="AN72" s="18"/>
      <c r="AO72" s="18"/>
      <c r="AP72" s="20">
        <f t="shared" si="180"/>
        <v>0</v>
      </c>
      <c r="AQ72" s="17"/>
      <c r="AR72" s="43"/>
      <c r="AS72" s="43"/>
      <c r="AT72" s="20">
        <f t="shared" si="181"/>
        <v>0</v>
      </c>
      <c r="AU72" s="17"/>
      <c r="AV72" s="18">
        <f>19200+48560+19660+101450</f>
        <v>188870</v>
      </c>
      <c r="AW72" s="43">
        <v>188870</v>
      </c>
      <c r="AX72" s="20">
        <f t="shared" si="182"/>
        <v>188870</v>
      </c>
      <c r="AY72" s="17">
        <f t="shared" si="183"/>
        <v>0</v>
      </c>
      <c r="AZ72" s="18">
        <f t="shared" si="183"/>
        <v>188870</v>
      </c>
      <c r="BA72" s="18">
        <f t="shared" si="183"/>
        <v>188870</v>
      </c>
      <c r="BB72" s="19">
        <f t="shared" si="184"/>
        <v>188870</v>
      </c>
      <c r="BC72" s="190">
        <f t="shared" si="185"/>
        <v>676825</v>
      </c>
      <c r="BD72" s="84">
        <f t="shared" si="185"/>
        <v>391770</v>
      </c>
      <c r="BE72" s="84">
        <f t="shared" si="185"/>
        <v>391770</v>
      </c>
      <c r="BF72" s="170">
        <f t="shared" si="186"/>
        <v>-285055</v>
      </c>
      <c r="BG72" s="83"/>
      <c r="BH72" s="18"/>
      <c r="BI72" s="43"/>
      <c r="BJ72" s="41">
        <f t="shared" si="187"/>
        <v>0</v>
      </c>
      <c r="BK72" s="44">
        <v>100000</v>
      </c>
      <c r="BL72" s="43"/>
      <c r="BM72" s="43"/>
      <c r="BN72" s="41">
        <f t="shared" si="188"/>
        <v>-100000</v>
      </c>
      <c r="BO72" s="44">
        <v>35000</v>
      </c>
      <c r="BP72" s="43"/>
      <c r="BQ72" s="43"/>
      <c r="BR72" s="41">
        <f t="shared" si="189"/>
        <v>-35000</v>
      </c>
      <c r="BS72" s="17">
        <f t="shared" si="190"/>
        <v>135000</v>
      </c>
      <c r="BT72" s="18">
        <f t="shared" si="190"/>
        <v>0</v>
      </c>
      <c r="BU72" s="18">
        <f t="shared" si="190"/>
        <v>0</v>
      </c>
      <c r="BV72" s="20">
        <f t="shared" si="191"/>
        <v>-135000</v>
      </c>
      <c r="BW72" s="17">
        <f t="shared" si="192"/>
        <v>135000</v>
      </c>
      <c r="BX72" s="18">
        <f t="shared" si="192"/>
        <v>188870</v>
      </c>
      <c r="BY72" s="18">
        <f t="shared" si="192"/>
        <v>188870</v>
      </c>
      <c r="BZ72" s="20">
        <f t="shared" si="193"/>
        <v>53870</v>
      </c>
      <c r="CA72" s="17">
        <f t="shared" si="194"/>
        <v>811825</v>
      </c>
      <c r="CB72" s="18">
        <f t="shared" si="194"/>
        <v>391770</v>
      </c>
      <c r="CC72" s="18">
        <f t="shared" si="194"/>
        <v>391770</v>
      </c>
      <c r="CD72" s="20">
        <f t="shared" si="196"/>
        <v>-420055</v>
      </c>
      <c r="CH72" s="3"/>
      <c r="CJ72" s="91">
        <f t="shared" si="195"/>
        <v>135000</v>
      </c>
      <c r="CK72" s="91">
        <f t="shared" si="195"/>
        <v>0</v>
      </c>
      <c r="CL72" s="91">
        <f t="shared" si="195"/>
        <v>0</v>
      </c>
      <c r="CM72" s="91">
        <f t="shared" si="195"/>
        <v>-135000</v>
      </c>
      <c r="CN72" s="91">
        <f t="shared" si="166"/>
        <v>811825</v>
      </c>
      <c r="CO72" s="91">
        <f t="shared" si="166"/>
        <v>391770</v>
      </c>
      <c r="CP72" s="91">
        <f t="shared" si="166"/>
        <v>391770</v>
      </c>
      <c r="CQ72" s="91">
        <f t="shared" si="166"/>
        <v>-420055</v>
      </c>
    </row>
    <row r="73" spans="1:95" ht="16.5" hidden="1" outlineLevel="1" x14ac:dyDescent="0.3">
      <c r="A73" s="42">
        <v>8.5</v>
      </c>
      <c r="B73" s="28" t="s">
        <v>166</v>
      </c>
      <c r="C73" s="168"/>
      <c r="D73" s="18"/>
      <c r="E73" s="43"/>
      <c r="F73" s="170">
        <f t="shared" si="167"/>
        <v>0</v>
      </c>
      <c r="G73" s="83"/>
      <c r="H73" s="18"/>
      <c r="I73" s="18"/>
      <c r="J73" s="19">
        <f t="shared" si="168"/>
        <v>0</v>
      </c>
      <c r="K73" s="17"/>
      <c r="L73" s="18"/>
      <c r="M73" s="18"/>
      <c r="N73" s="19"/>
      <c r="O73" s="17">
        <f t="shared" si="170"/>
        <v>0</v>
      </c>
      <c r="P73" s="43">
        <f t="shared" si="171"/>
        <v>0</v>
      </c>
      <c r="Q73" s="43">
        <f t="shared" si="171"/>
        <v>0</v>
      </c>
      <c r="R73" s="19">
        <f t="shared" si="172"/>
        <v>0</v>
      </c>
      <c r="S73" s="17"/>
      <c r="T73" s="18"/>
      <c r="U73" s="43"/>
      <c r="V73" s="19"/>
      <c r="W73" s="17"/>
      <c r="X73" s="18"/>
      <c r="Y73" s="37"/>
      <c r="Z73" s="18"/>
      <c r="AA73" s="83"/>
      <c r="AB73" s="18"/>
      <c r="AC73" s="43"/>
      <c r="AD73" s="19">
        <f t="shared" si="175"/>
        <v>0</v>
      </c>
      <c r="AE73" s="18"/>
      <c r="AF73" s="18">
        <f>T73+X73+AB73</f>
        <v>0</v>
      </c>
      <c r="AG73" s="18">
        <f>U73+Y73+AC73</f>
        <v>0</v>
      </c>
      <c r="AH73" s="19">
        <f t="shared" si="177"/>
        <v>0</v>
      </c>
      <c r="AI73" s="17">
        <f t="shared" si="178"/>
        <v>0</v>
      </c>
      <c r="AJ73" s="18">
        <f t="shared" si="178"/>
        <v>0</v>
      </c>
      <c r="AK73" s="18">
        <f t="shared" si="178"/>
        <v>0</v>
      </c>
      <c r="AL73" s="19">
        <f t="shared" si="179"/>
        <v>0</v>
      </c>
      <c r="AM73" s="18"/>
      <c r="AN73" s="18"/>
      <c r="AO73" s="18"/>
      <c r="AP73" s="18"/>
      <c r="AQ73" s="18"/>
      <c r="AR73" s="18"/>
      <c r="AS73" s="43"/>
      <c r="AT73" s="18"/>
      <c r="AU73" s="18"/>
      <c r="AV73" s="18"/>
      <c r="AW73" s="43"/>
      <c r="AX73" s="18"/>
      <c r="AY73" s="17">
        <f t="shared" si="183"/>
        <v>0</v>
      </c>
      <c r="AZ73" s="18">
        <f t="shared" si="183"/>
        <v>0</v>
      </c>
      <c r="BA73" s="18">
        <f t="shared" si="183"/>
        <v>0</v>
      </c>
      <c r="BB73" s="19">
        <f t="shared" si="184"/>
        <v>0</v>
      </c>
      <c r="BC73" s="190">
        <f t="shared" si="185"/>
        <v>0</v>
      </c>
      <c r="BD73" s="84">
        <f t="shared" si="185"/>
        <v>0</v>
      </c>
      <c r="BE73" s="84">
        <f t="shared" si="185"/>
        <v>0</v>
      </c>
      <c r="BF73" s="170">
        <f t="shared" si="186"/>
        <v>0</v>
      </c>
      <c r="BG73" s="83"/>
      <c r="BH73" s="18"/>
      <c r="BI73" s="43"/>
      <c r="BJ73" s="43"/>
      <c r="BK73" s="43"/>
      <c r="BL73" s="43"/>
      <c r="BM73" s="43"/>
      <c r="BN73" s="43"/>
      <c r="BO73" s="43"/>
      <c r="BP73" s="43"/>
      <c r="BQ73" s="43"/>
      <c r="BR73" s="41">
        <f t="shared" si="189"/>
        <v>0</v>
      </c>
      <c r="BS73" s="18"/>
      <c r="BT73" s="18">
        <f>BH73+BL73+BP73</f>
        <v>0</v>
      </c>
      <c r="BU73" s="18">
        <f>BI73+BM73+BQ73</f>
        <v>0</v>
      </c>
      <c r="BV73" s="18"/>
      <c r="BW73" s="18"/>
      <c r="BX73" s="18">
        <f>BT73+AZ73</f>
        <v>0</v>
      </c>
      <c r="BY73" s="18">
        <f>BU73+BA73</f>
        <v>0</v>
      </c>
      <c r="BZ73" s="18"/>
      <c r="CA73" s="17">
        <f t="shared" si="194"/>
        <v>0</v>
      </c>
      <c r="CB73" s="18">
        <f t="shared" si="194"/>
        <v>0</v>
      </c>
      <c r="CC73" s="18">
        <f t="shared" si="194"/>
        <v>0</v>
      </c>
      <c r="CD73" s="20">
        <f t="shared" si="196"/>
        <v>0</v>
      </c>
      <c r="CH73" s="3"/>
      <c r="CJ73" s="91">
        <f t="shared" si="195"/>
        <v>0</v>
      </c>
      <c r="CK73" s="91">
        <f t="shared" si="195"/>
        <v>0</v>
      </c>
      <c r="CL73" s="91">
        <f t="shared" si="195"/>
        <v>0</v>
      </c>
      <c r="CM73" s="91">
        <f t="shared" si="195"/>
        <v>0</v>
      </c>
      <c r="CN73" s="91">
        <f t="shared" si="166"/>
        <v>0</v>
      </c>
      <c r="CO73" s="91">
        <f t="shared" si="166"/>
        <v>0</v>
      </c>
      <c r="CP73" s="91">
        <f t="shared" si="166"/>
        <v>0</v>
      </c>
      <c r="CQ73" s="91">
        <f t="shared" si="166"/>
        <v>0</v>
      </c>
    </row>
    <row r="74" spans="1:95" ht="22.5" hidden="1" customHeight="1" outlineLevel="1" x14ac:dyDescent="0.3">
      <c r="A74" s="42">
        <v>7.8</v>
      </c>
      <c r="B74" s="28" t="s">
        <v>29</v>
      </c>
      <c r="C74" s="168"/>
      <c r="D74" s="18"/>
      <c r="E74" s="43"/>
      <c r="F74" s="170">
        <f t="shared" si="167"/>
        <v>0</v>
      </c>
      <c r="G74" s="83"/>
      <c r="H74" s="18">
        <v>916500</v>
      </c>
      <c r="I74" s="18"/>
      <c r="J74" s="19">
        <f t="shared" si="168"/>
        <v>916500</v>
      </c>
      <c r="K74" s="17"/>
      <c r="L74" s="18"/>
      <c r="M74" s="18">
        <v>916500</v>
      </c>
      <c r="N74" s="19">
        <f t="shared" ref="N74:N105" si="197">L74-K74</f>
        <v>0</v>
      </c>
      <c r="O74" s="17">
        <f t="shared" si="170"/>
        <v>0</v>
      </c>
      <c r="P74" s="43">
        <f t="shared" si="171"/>
        <v>916500</v>
      </c>
      <c r="Q74" s="43">
        <f t="shared" si="171"/>
        <v>916500</v>
      </c>
      <c r="R74" s="19">
        <f t="shared" si="172"/>
        <v>916500</v>
      </c>
      <c r="S74" s="17"/>
      <c r="T74" s="18"/>
      <c r="U74" s="43"/>
      <c r="V74" s="19">
        <f t="shared" ref="V74:V82" si="198">T74-S74</f>
        <v>0</v>
      </c>
      <c r="W74" s="17"/>
      <c r="X74" s="18"/>
      <c r="Y74" s="37"/>
      <c r="Z74" s="18">
        <f t="shared" ref="Z74:Z86" si="199">X74-W74</f>
        <v>0</v>
      </c>
      <c r="AA74" s="83"/>
      <c r="AB74" s="18"/>
      <c r="AC74" s="43"/>
      <c r="AD74" s="19">
        <f t="shared" si="175"/>
        <v>0</v>
      </c>
      <c r="AE74" s="17">
        <f>S74+W74+AA74</f>
        <v>0</v>
      </c>
      <c r="AF74" s="18">
        <f>T74+X74+AB74</f>
        <v>0</v>
      </c>
      <c r="AG74" s="18">
        <f>U74+Y74+AC74</f>
        <v>0</v>
      </c>
      <c r="AH74" s="19">
        <f t="shared" si="177"/>
        <v>0</v>
      </c>
      <c r="AI74" s="17">
        <f t="shared" si="178"/>
        <v>0</v>
      </c>
      <c r="AJ74" s="18">
        <f t="shared" si="178"/>
        <v>916500</v>
      </c>
      <c r="AK74" s="18">
        <f t="shared" si="178"/>
        <v>916500</v>
      </c>
      <c r="AL74" s="19">
        <f t="shared" si="179"/>
        <v>916500</v>
      </c>
      <c r="AM74" s="17"/>
      <c r="AN74" s="18"/>
      <c r="AO74" s="18"/>
      <c r="AP74" s="20">
        <f t="shared" ref="AP74:AP81" si="200">AN74-AM74</f>
        <v>0</v>
      </c>
      <c r="AQ74" s="17"/>
      <c r="AR74" s="18"/>
      <c r="AS74" s="43"/>
      <c r="AT74" s="20">
        <f t="shared" ref="AT74:AT87" si="201">AR74-AQ74</f>
        <v>0</v>
      </c>
      <c r="AU74" s="17"/>
      <c r="AV74" s="18"/>
      <c r="AW74" s="43"/>
      <c r="AX74" s="20">
        <f t="shared" ref="AX74:AX87" si="202">AV74-AU74</f>
        <v>0</v>
      </c>
      <c r="AY74" s="17">
        <f t="shared" si="183"/>
        <v>0</v>
      </c>
      <c r="AZ74" s="18">
        <f t="shared" si="183"/>
        <v>0</v>
      </c>
      <c r="BA74" s="18">
        <f t="shared" si="183"/>
        <v>0</v>
      </c>
      <c r="BB74" s="19">
        <f t="shared" si="184"/>
        <v>0</v>
      </c>
      <c r="BC74" s="190">
        <f t="shared" si="185"/>
        <v>0</v>
      </c>
      <c r="BD74" s="84">
        <f t="shared" si="185"/>
        <v>916500</v>
      </c>
      <c r="BE74" s="84">
        <f t="shared" si="185"/>
        <v>916500</v>
      </c>
      <c r="BF74" s="170">
        <f t="shared" si="186"/>
        <v>916500</v>
      </c>
      <c r="BG74" s="83"/>
      <c r="BH74" s="18"/>
      <c r="BI74" s="43"/>
      <c r="BJ74" s="27">
        <f t="shared" ref="BJ74:BJ86" si="203">BH74-BG74</f>
        <v>0</v>
      </c>
      <c r="BK74" s="44"/>
      <c r="BL74" s="43"/>
      <c r="BM74" s="43"/>
      <c r="BN74" s="27">
        <f t="shared" ref="BN74:BN86" si="204">BL74-BK74</f>
        <v>0</v>
      </c>
      <c r="BO74" s="44"/>
      <c r="BP74" s="43"/>
      <c r="BQ74" s="43"/>
      <c r="BR74" s="27">
        <f t="shared" si="189"/>
        <v>0</v>
      </c>
      <c r="BS74" s="17">
        <f>BG74+BK74+BO74</f>
        <v>0</v>
      </c>
      <c r="BT74" s="18">
        <f>BH74+BL74+BP74</f>
        <v>0</v>
      </c>
      <c r="BU74" s="18">
        <f>BI74+BM74+BQ74</f>
        <v>0</v>
      </c>
      <c r="BV74" s="20">
        <f t="shared" ref="BV74:BV87" si="205">BT74-BS74</f>
        <v>0</v>
      </c>
      <c r="BW74" s="17">
        <f>BS74+AY74</f>
        <v>0</v>
      </c>
      <c r="BX74" s="18">
        <f>BT74+AZ74</f>
        <v>0</v>
      </c>
      <c r="BY74" s="18">
        <f>BU74+BA74</f>
        <v>0</v>
      </c>
      <c r="BZ74" s="20">
        <f t="shared" ref="BZ74:BZ87" si="206">BX74-BW74</f>
        <v>0</v>
      </c>
      <c r="CA74" s="17">
        <f t="shared" si="194"/>
        <v>0</v>
      </c>
      <c r="CB74" s="18">
        <f t="shared" si="194"/>
        <v>916500</v>
      </c>
      <c r="CC74" s="18">
        <f t="shared" si="194"/>
        <v>916500</v>
      </c>
      <c r="CD74" s="20">
        <f t="shared" si="196"/>
        <v>916500</v>
      </c>
      <c r="CH74" s="3"/>
      <c r="CJ74" s="91">
        <f t="shared" si="195"/>
        <v>0</v>
      </c>
      <c r="CK74" s="91">
        <f t="shared" si="195"/>
        <v>0</v>
      </c>
      <c r="CL74" s="91">
        <f t="shared" si="195"/>
        <v>0</v>
      </c>
      <c r="CM74" s="91">
        <f t="shared" si="195"/>
        <v>0</v>
      </c>
      <c r="CN74" s="91">
        <f t="shared" si="166"/>
        <v>0</v>
      </c>
      <c r="CO74" s="91">
        <f t="shared" si="166"/>
        <v>916500</v>
      </c>
      <c r="CP74" s="91">
        <f t="shared" si="166"/>
        <v>916500</v>
      </c>
      <c r="CQ74" s="91">
        <f t="shared" si="166"/>
        <v>916500</v>
      </c>
    </row>
    <row r="75" spans="1:95" ht="16.5" collapsed="1" x14ac:dyDescent="0.3">
      <c r="A75" s="45">
        <v>8</v>
      </c>
      <c r="B75" s="127" t="s">
        <v>80</v>
      </c>
      <c r="C75" s="168">
        <f>C76+C86+C89+C90+C87</f>
        <v>30000</v>
      </c>
      <c r="D75" s="31">
        <f>D76+D86+D89+D90+D87</f>
        <v>25549.16</v>
      </c>
      <c r="E75" s="31">
        <f>E76+E86+E89+E90+E87</f>
        <v>28911.87</v>
      </c>
      <c r="F75" s="170">
        <f t="shared" si="167"/>
        <v>-4450.84</v>
      </c>
      <c r="G75" s="89">
        <f>G76+G86+G89+G90+G87</f>
        <v>30000</v>
      </c>
      <c r="H75" s="31">
        <f>H76+H86+H89+H90+H87</f>
        <v>16799.16</v>
      </c>
      <c r="I75" s="31">
        <f>I76+I86+I89+I90+I87</f>
        <v>15799.16</v>
      </c>
      <c r="J75" s="19">
        <f t="shared" si="168"/>
        <v>-13200.84</v>
      </c>
      <c r="K75" s="31">
        <f>K76+K86+K89+K90+K87</f>
        <v>33000</v>
      </c>
      <c r="L75" s="31">
        <f>L76+L86+L89+L90+L87</f>
        <v>38662.149999999994</v>
      </c>
      <c r="M75" s="31">
        <f>M76+M86+M89+M90+M87</f>
        <v>19369.05</v>
      </c>
      <c r="N75" s="30">
        <f t="shared" si="197"/>
        <v>5662.1499999999942</v>
      </c>
      <c r="O75" s="31">
        <f t="shared" ref="O75:P75" si="207">O76+O86+O89+O90+O87</f>
        <v>93000</v>
      </c>
      <c r="P75" s="31">
        <f t="shared" si="207"/>
        <v>81010.47</v>
      </c>
      <c r="Q75" s="31">
        <f>Q76+Q86+Q89+Q90+Q87</f>
        <v>64080.08</v>
      </c>
      <c r="R75" s="30">
        <f t="shared" si="172"/>
        <v>-11989.529999999999</v>
      </c>
      <c r="S75" s="31">
        <f>S76+S86+S89+S90+S87</f>
        <v>35000</v>
      </c>
      <c r="T75" s="31">
        <f>T76+T86+T89+T90+T87</f>
        <v>2911.58</v>
      </c>
      <c r="U75" s="95">
        <f>U76+U86+U89+U90+U87</f>
        <v>1455.79</v>
      </c>
      <c r="V75" s="30">
        <f t="shared" si="198"/>
        <v>-32088.42</v>
      </c>
      <c r="W75" s="31">
        <f>W76+W86+W89+W90+W87</f>
        <v>35000</v>
      </c>
      <c r="X75" s="31">
        <f>X76+X86+X89+X90+X87</f>
        <v>9657.2900000000009</v>
      </c>
      <c r="Y75" s="30">
        <f>Y76+Y86+Y89+Y90+Y87</f>
        <v>12257.29</v>
      </c>
      <c r="Z75" s="31">
        <f t="shared" si="199"/>
        <v>-25342.71</v>
      </c>
      <c r="AA75" s="89">
        <f>AA76+AA86+AA89+AA90+AA87</f>
        <v>38000</v>
      </c>
      <c r="AB75" s="31">
        <f>AB76+AB86+AB89+AB90+AB87</f>
        <v>440</v>
      </c>
      <c r="AC75" s="95">
        <f>AC76+AC86+AC89+AC90+AC87</f>
        <v>70840</v>
      </c>
      <c r="AD75" s="30">
        <f t="shared" si="175"/>
        <v>-37560</v>
      </c>
      <c r="AE75" s="31">
        <f>AE76+AE86+AE89+AE90+AE87</f>
        <v>108000</v>
      </c>
      <c r="AF75" s="31">
        <f>AF76+AF86+AF89+AF90+AF87</f>
        <v>13008.87</v>
      </c>
      <c r="AG75" s="31">
        <f>AG76+AG86+AG89+AG90+AG87</f>
        <v>84553.08</v>
      </c>
      <c r="AH75" s="95">
        <f>AD75+Z75+V75</f>
        <v>-94991.13</v>
      </c>
      <c r="AI75" s="31">
        <f>AI76+AI86+AI87+AI88</f>
        <v>195000</v>
      </c>
      <c r="AJ75" s="31">
        <f>AJ76+AJ86+AJ87+AJ88</f>
        <v>73743.659999999989</v>
      </c>
      <c r="AK75" s="31">
        <f>AK76+AK86+AK87+AK88</f>
        <v>148633.16</v>
      </c>
      <c r="AL75" s="30">
        <f t="shared" si="179"/>
        <v>-121256.34000000001</v>
      </c>
      <c r="AM75" s="31">
        <f>AM76+AM86+AM89+AM90+AM87</f>
        <v>35000</v>
      </c>
      <c r="AN75" s="31">
        <f>AN76+AN86+AN89+AN90+AN87</f>
        <v>440</v>
      </c>
      <c r="AO75" s="31">
        <f>AO76+AO86+AO89+AO90+AO87</f>
        <v>-69960</v>
      </c>
      <c r="AP75" s="32">
        <f t="shared" si="200"/>
        <v>-34560</v>
      </c>
      <c r="AQ75" s="31">
        <f>AQ76+AQ86+AQ89+AQ90+AQ87</f>
        <v>35000</v>
      </c>
      <c r="AR75" s="31">
        <f>AR76+AR86+AR89+AR90+AR87</f>
        <v>440</v>
      </c>
      <c r="AS75" s="95">
        <f>AS76+AS86+AS89+AS90+AS87</f>
        <v>11000</v>
      </c>
      <c r="AT75" s="32">
        <f t="shared" si="201"/>
        <v>-34560</v>
      </c>
      <c r="AU75" s="31">
        <f>AU76+AU86+AU89+AU90+AU87</f>
        <v>38000</v>
      </c>
      <c r="AV75" s="31">
        <f>AV76+AV86+AV89+AV90+AV87</f>
        <v>11220</v>
      </c>
      <c r="AW75" s="95">
        <f>AW76+AW86+AW89+AW90+AW87</f>
        <v>660</v>
      </c>
      <c r="AX75" s="32">
        <f t="shared" si="202"/>
        <v>-26780</v>
      </c>
      <c r="AY75" s="31">
        <f>SUM(AY76:AY87)</f>
        <v>108000</v>
      </c>
      <c r="AZ75" s="31">
        <f>AZ76+AZ86+AZ89+AZ90+AZ87</f>
        <v>12100</v>
      </c>
      <c r="BA75" s="31">
        <f>BA76+BA86+BA89+BA90+BA87</f>
        <v>-58300</v>
      </c>
      <c r="BB75" s="30">
        <f t="shared" si="184"/>
        <v>-95900</v>
      </c>
      <c r="BC75" s="168">
        <f>SUM(BC76:BC86)</f>
        <v>300000</v>
      </c>
      <c r="BD75" s="31">
        <f>BD76+BD86+BD89+BD90+BD87</f>
        <v>85843.659999999989</v>
      </c>
      <c r="BE75" s="31">
        <f>BE76+BE86+BE89+BE90+BE87</f>
        <v>90333.16</v>
      </c>
      <c r="BF75" s="178">
        <f t="shared" si="186"/>
        <v>-214156.34000000003</v>
      </c>
      <c r="BG75" s="89">
        <f>BG76+BG86+BG89+BG90+BG87</f>
        <v>30000</v>
      </c>
      <c r="BH75" s="31">
        <f>BH76+BH86+BH89+BH90+BH87</f>
        <v>756862.3</v>
      </c>
      <c r="BI75" s="95">
        <f>BI76+BI86+BI89+BI90+BI87</f>
        <v>756862.3</v>
      </c>
      <c r="BJ75" s="27">
        <f t="shared" si="203"/>
        <v>726862.3</v>
      </c>
      <c r="BK75" s="95">
        <f>BK76+BK86+BK89+BK90+BK87</f>
        <v>30000</v>
      </c>
      <c r="BL75" s="95">
        <f>BL76+BL86+BL89+BL90+BL87</f>
        <v>241655.46</v>
      </c>
      <c r="BM75" s="95">
        <f>BM76+BM86+BM89+BM90+BM87</f>
        <v>238765.96</v>
      </c>
      <c r="BN75" s="27">
        <f t="shared" si="204"/>
        <v>211655.46</v>
      </c>
      <c r="BO75" s="95">
        <f>BO76+BO86+BO89+BO90+BO87</f>
        <v>33000</v>
      </c>
      <c r="BP75" s="95">
        <f>BP76+BP86+BP89+BP90+BP87</f>
        <v>242618.84</v>
      </c>
      <c r="BQ75" s="95">
        <f>BQ76+BQ86+BQ89+BQ90+BQ87</f>
        <v>240018.84</v>
      </c>
      <c r="BR75" s="27">
        <f t="shared" si="189"/>
        <v>209618.84</v>
      </c>
      <c r="BS75" s="31">
        <f>SUM(BS76:BS86)</f>
        <v>90000</v>
      </c>
      <c r="BT75" s="31">
        <f>BT76+BT86+BT89+BT90+BT87</f>
        <v>1241136.6000000001</v>
      </c>
      <c r="BU75" s="31">
        <f>BU76+BU86+BU89+BU90+BU87</f>
        <v>1235647.1000000001</v>
      </c>
      <c r="BV75" s="32">
        <f t="shared" si="205"/>
        <v>1151136.6000000001</v>
      </c>
      <c r="BW75" s="31">
        <f>BW76+BW86+BW89+BW90+BW87</f>
        <v>201000</v>
      </c>
      <c r="BX75" s="31">
        <f>BX76+BX86+BX89+BX90+BX87</f>
        <v>1253236.6000000001</v>
      </c>
      <c r="BY75" s="31">
        <f>BY76+BY86+BY89+BY90+BY87</f>
        <v>1177347.1000000001</v>
      </c>
      <c r="BZ75" s="32">
        <f t="shared" si="206"/>
        <v>1052236.6000000001</v>
      </c>
      <c r="CA75" s="31">
        <f>CA76+CA86+CA87</f>
        <v>396000</v>
      </c>
      <c r="CB75" s="31">
        <f t="shared" ref="CB75:CC75" si="208">CB76+CB86+CB87</f>
        <v>213103.15999999997</v>
      </c>
      <c r="CC75" s="31">
        <f t="shared" si="208"/>
        <v>212103.16</v>
      </c>
      <c r="CD75" s="32">
        <f t="shared" ref="CD75:CD94" si="209">CB75-CA75</f>
        <v>-182896.84000000003</v>
      </c>
      <c r="CH75" s="3"/>
      <c r="CJ75" s="209">
        <f>CJ76+CJ89+CJ90+CJ91</f>
        <v>881986.86</v>
      </c>
      <c r="CK75" s="209">
        <f>CK76+CK89+CK90+CK91</f>
        <v>1965086.9500000002</v>
      </c>
      <c r="CL75" s="209">
        <f>CL76+CL89+CL90+CL91</f>
        <v>1959597.4500000002</v>
      </c>
      <c r="CM75" s="209">
        <f>CM76+CM89+CM90+CM91</f>
        <v>1083100.0900000001</v>
      </c>
      <c r="CN75" s="209">
        <f t="shared" si="166"/>
        <v>1190986.8599999999</v>
      </c>
      <c r="CO75" s="209">
        <f t="shared" si="166"/>
        <v>2071206.2900000003</v>
      </c>
      <c r="CP75" s="209">
        <f t="shared" si="166"/>
        <v>2049930.61</v>
      </c>
      <c r="CQ75" s="209">
        <f t="shared" si="166"/>
        <v>880219.43</v>
      </c>
    </row>
    <row r="76" spans="1:95" ht="16.5" x14ac:dyDescent="0.3">
      <c r="A76" s="42">
        <v>8.1</v>
      </c>
      <c r="B76" s="123" t="s">
        <v>81</v>
      </c>
      <c r="C76" s="179">
        <v>20000</v>
      </c>
      <c r="D76" s="46">
        <f>D77+D78+D79+D80+D81+D84+D85+D82+D83</f>
        <v>25549.16</v>
      </c>
      <c r="E76" s="46">
        <f>E77+E78+E79+E80+E81+E84+E85+E82+E83</f>
        <v>28911.87</v>
      </c>
      <c r="F76" s="170">
        <f t="shared" si="167"/>
        <v>5549.16</v>
      </c>
      <c r="G76" s="130">
        <v>20000</v>
      </c>
      <c r="H76" s="46">
        <f>H77+H78+H79+H80+H81+H84+H85+H82+H83</f>
        <v>15799.16</v>
      </c>
      <c r="I76" s="46">
        <f>I77+I78+I79+I80+I81+I84+I85+I82+I83</f>
        <v>15799.16</v>
      </c>
      <c r="J76" s="19">
        <f t="shared" si="168"/>
        <v>-4200.84</v>
      </c>
      <c r="K76" s="46">
        <v>20000</v>
      </c>
      <c r="L76" s="46">
        <f>L77+L78+L79+L80+L81+L84+L85+L82+L83+18819.89</f>
        <v>38662.149999999994</v>
      </c>
      <c r="M76" s="46">
        <f>M77+M78+M79+M80+M81+M84+M85+M82+M83</f>
        <v>19369.05</v>
      </c>
      <c r="N76" s="30">
        <f t="shared" si="197"/>
        <v>18662.149999999994</v>
      </c>
      <c r="O76" s="95">
        <f t="shared" ref="O76:Q90" si="210">K76+G76+C76</f>
        <v>60000</v>
      </c>
      <c r="P76" s="95">
        <f t="shared" si="210"/>
        <v>80010.47</v>
      </c>
      <c r="Q76" s="95">
        <f t="shared" si="210"/>
        <v>64080.08</v>
      </c>
      <c r="R76" s="30">
        <f t="shared" si="172"/>
        <v>20010.47</v>
      </c>
      <c r="S76" s="46">
        <v>25000</v>
      </c>
      <c r="T76" s="46">
        <f>T77+T78+T79+T80+T81+T84+T85+T82+T83+1455.79</f>
        <v>2911.58</v>
      </c>
      <c r="U76" s="128">
        <f>U77+U78+U79+U80+U81+U84+U85+U82+U83</f>
        <v>1455.79</v>
      </c>
      <c r="V76" s="30">
        <f t="shared" si="198"/>
        <v>-22088.42</v>
      </c>
      <c r="W76" s="46">
        <v>25000</v>
      </c>
      <c r="X76" s="46">
        <f>X77+X78+X79+X80+X81+X84+X85+X82+X83</f>
        <v>9657.2900000000009</v>
      </c>
      <c r="Y76" s="129">
        <f>Y77+Y78+Y79+Y80+Y81+Y84+Y85+Y82+Y83</f>
        <v>12257.29</v>
      </c>
      <c r="Z76" s="31">
        <f>X76-W76</f>
        <v>-15342.71</v>
      </c>
      <c r="AA76" s="130">
        <v>25000</v>
      </c>
      <c r="AB76" s="46">
        <f>AB77+AB78+AB79+AB80+AB81+AB84+AB85+AB82+AB83</f>
        <v>440</v>
      </c>
      <c r="AC76" s="128">
        <f>AC77+AC78+AC79+AC80+AC81+AC84+AC85+AC82+AC83</f>
        <v>70840</v>
      </c>
      <c r="AD76" s="19">
        <f t="shared" si="175"/>
        <v>-24560</v>
      </c>
      <c r="AE76" s="46">
        <f t="shared" ref="AE76:AG94" si="211">S76+W76+AA76</f>
        <v>75000</v>
      </c>
      <c r="AF76" s="131">
        <f t="shared" si="211"/>
        <v>13008.87</v>
      </c>
      <c r="AG76" s="131">
        <f>U76+Y76+AC76</f>
        <v>84553.08</v>
      </c>
      <c r="AH76" s="19">
        <f t="shared" ref="AH76:AH105" si="212">AF76-AE76</f>
        <v>-61991.13</v>
      </c>
      <c r="AI76" s="131">
        <f>AE76+O76</f>
        <v>135000</v>
      </c>
      <c r="AJ76" s="131">
        <f>AJ77+AJ78+AJ79+AJ80+AJ81+AJ84+AJ85</f>
        <v>72743.659999999989</v>
      </c>
      <c r="AK76" s="131">
        <f>AK77+AK78+AK79+AK80+AK81+AK84+AK85</f>
        <v>148633.16</v>
      </c>
      <c r="AL76" s="30">
        <f t="shared" si="179"/>
        <v>-62256.340000000011</v>
      </c>
      <c r="AM76" s="46">
        <v>25000</v>
      </c>
      <c r="AN76" s="46">
        <f>AN77+AN78+AN79+AN80+AN81+AN85</f>
        <v>440</v>
      </c>
      <c r="AO76" s="46">
        <f>AO77+AO78+AO79+AO80+AO81+AO85</f>
        <v>-69960</v>
      </c>
      <c r="AP76" s="32">
        <f t="shared" si="200"/>
        <v>-24560</v>
      </c>
      <c r="AQ76" s="46">
        <v>25000</v>
      </c>
      <c r="AR76" s="46">
        <f>AR77+AR78+AR79+AR80+AR81+AR84+AR85+AR82+AR83</f>
        <v>440</v>
      </c>
      <c r="AS76" s="128">
        <f>AS77+AS78+AS79+AS80+AS81+AS84+AS85+AS82+AS83</f>
        <v>11000</v>
      </c>
      <c r="AT76" s="32">
        <f t="shared" si="201"/>
        <v>-24560</v>
      </c>
      <c r="AU76" s="46">
        <v>25000</v>
      </c>
      <c r="AV76" s="46">
        <f>AV77+AV78+AV79+AV80+AV81+AV84+AV85+AV82+AV83</f>
        <v>11220</v>
      </c>
      <c r="AW76" s="128">
        <f>AW77+AW78+AW79+AW80+AW81+AW84+AW85+AW82+AW83</f>
        <v>660</v>
      </c>
      <c r="AX76" s="20">
        <f t="shared" si="202"/>
        <v>-13780</v>
      </c>
      <c r="AY76" s="46">
        <f t="shared" ref="AY76:BA87" si="213">AM76+AQ76+AU76</f>
        <v>75000</v>
      </c>
      <c r="AZ76" s="131">
        <f t="shared" si="213"/>
        <v>12100</v>
      </c>
      <c r="BA76" s="131">
        <f t="shared" si="213"/>
        <v>-58300</v>
      </c>
      <c r="BB76" s="30">
        <f t="shared" si="184"/>
        <v>-62900</v>
      </c>
      <c r="BC76" s="191">
        <f t="shared" ref="BC76:BE87" si="214">(AI76+AY76)</f>
        <v>210000</v>
      </c>
      <c r="BD76" s="96">
        <f t="shared" si="214"/>
        <v>84843.659999999989</v>
      </c>
      <c r="BE76" s="96">
        <f t="shared" si="214"/>
        <v>90333.16</v>
      </c>
      <c r="BF76" s="178">
        <f t="shared" si="186"/>
        <v>-125156.34000000001</v>
      </c>
      <c r="BG76" s="130">
        <v>20000</v>
      </c>
      <c r="BH76" s="46">
        <f>BH77+BH78+BH79+BH80+BH81+BH84+BH85+BH82+BH83</f>
        <v>0</v>
      </c>
      <c r="BI76" s="128">
        <f>BI77+BI78+BI79+BI80+BI81+BI84+BI85+BI82+BI83</f>
        <v>0</v>
      </c>
      <c r="BJ76" s="27">
        <f t="shared" si="203"/>
        <v>-20000</v>
      </c>
      <c r="BK76" s="128">
        <v>20000</v>
      </c>
      <c r="BL76" s="128">
        <f>BL77+BL78+BL79+BL80+BL81+BL84+BL85+BL82+BL83</f>
        <v>3329.5</v>
      </c>
      <c r="BM76" s="128">
        <f>BM77+BM78+BM79+BM80+BM81+BM84+BM85+BM82+BM83</f>
        <v>440</v>
      </c>
      <c r="BN76" s="41">
        <f t="shared" si="204"/>
        <v>-16670.5</v>
      </c>
      <c r="BO76" s="128">
        <v>20000</v>
      </c>
      <c r="BP76" s="128">
        <f>BP77+BP78+BP79+BP80+BP81+BP84+BP85+BP82+BP83</f>
        <v>16053</v>
      </c>
      <c r="BQ76" s="128">
        <f>BQ77+BQ78+BQ79+BQ80+BQ81+BQ84+BQ85+BQ82+BQ83</f>
        <v>13453</v>
      </c>
      <c r="BR76" s="27">
        <f t="shared" si="189"/>
        <v>-3947</v>
      </c>
      <c r="BS76" s="17">
        <f t="shared" ref="BS76:BU89" si="215">BG76+BK76+BO76</f>
        <v>60000</v>
      </c>
      <c r="BT76" s="18">
        <f t="shared" si="215"/>
        <v>19382.5</v>
      </c>
      <c r="BU76" s="18">
        <f>BI76+BM76+BQ76</f>
        <v>13893</v>
      </c>
      <c r="BV76" s="20">
        <f t="shared" si="205"/>
        <v>-40617.5</v>
      </c>
      <c r="BW76" s="17">
        <f t="shared" ref="BW76:BY87" si="216">BS76+AY76</f>
        <v>135000</v>
      </c>
      <c r="BX76" s="18">
        <f t="shared" si="216"/>
        <v>31482.5</v>
      </c>
      <c r="BY76" s="18">
        <f t="shared" si="216"/>
        <v>-44407</v>
      </c>
      <c r="BZ76" s="20">
        <f t="shared" si="206"/>
        <v>-103517.5</v>
      </c>
      <c r="CA76" s="132">
        <f>BW76+AI76</f>
        <v>270000</v>
      </c>
      <c r="CB76" s="132">
        <f t="shared" ref="CB76:CC76" si="217">BX76+AJ76</f>
        <v>104226.15999999999</v>
      </c>
      <c r="CC76" s="132">
        <f t="shared" si="217"/>
        <v>104226.16</v>
      </c>
      <c r="CD76" s="32">
        <f t="shared" si="209"/>
        <v>-165773.84000000003</v>
      </c>
      <c r="CH76" s="3"/>
      <c r="CJ76" s="209">
        <f>SUM(CJ77:CJ85)</f>
        <v>0</v>
      </c>
      <c r="CK76" s="209">
        <f>SUM(CK77:CK85)</f>
        <v>19382.5</v>
      </c>
      <c r="CL76" s="209">
        <f>SUM(CL77:CL85)</f>
        <v>13893</v>
      </c>
      <c r="CM76" s="209">
        <f>SUM(CM77:CM85)</f>
        <v>19382.5</v>
      </c>
      <c r="CN76" s="91">
        <f t="shared" si="166"/>
        <v>210000</v>
      </c>
      <c r="CO76" s="91">
        <f t="shared" si="166"/>
        <v>124501.84</v>
      </c>
      <c r="CP76" s="91">
        <f t="shared" si="166"/>
        <v>104226.16</v>
      </c>
      <c r="CQ76" s="91">
        <f t="shared" si="166"/>
        <v>-85498.16</v>
      </c>
    </row>
    <row r="77" spans="1:95" ht="16.5" hidden="1" outlineLevel="1" x14ac:dyDescent="0.3">
      <c r="A77" s="42"/>
      <c r="B77" s="26" t="s">
        <v>82</v>
      </c>
      <c r="C77" s="168"/>
      <c r="D77" s="18">
        <v>25000</v>
      </c>
      <c r="E77" s="43">
        <v>28500</v>
      </c>
      <c r="F77" s="170">
        <f t="shared" si="167"/>
        <v>25000</v>
      </c>
      <c r="G77" s="89"/>
      <c r="H77" s="18"/>
      <c r="I77" s="43"/>
      <c r="J77" s="19">
        <f t="shared" si="168"/>
        <v>0</v>
      </c>
      <c r="K77" s="25"/>
      <c r="L77" s="18">
        <v>610.5</v>
      </c>
      <c r="M77" s="18"/>
      <c r="N77" s="19">
        <f t="shared" si="197"/>
        <v>610.5</v>
      </c>
      <c r="O77" s="17">
        <f t="shared" ref="O77:Q94" si="218">C77+G77+K77</f>
        <v>0</v>
      </c>
      <c r="P77" s="43">
        <f t="shared" si="210"/>
        <v>25610.5</v>
      </c>
      <c r="Q77" s="43">
        <f t="shared" si="210"/>
        <v>28500</v>
      </c>
      <c r="R77" s="19">
        <f t="shared" si="172"/>
        <v>25610.5</v>
      </c>
      <c r="S77" s="25"/>
      <c r="T77" s="18"/>
      <c r="U77" s="43"/>
      <c r="V77" s="19">
        <f t="shared" si="198"/>
        <v>0</v>
      </c>
      <c r="W77" s="25"/>
      <c r="X77" s="18"/>
      <c r="Y77" s="37">
        <v>2600</v>
      </c>
      <c r="Z77" s="18">
        <f t="shared" si="199"/>
        <v>0</v>
      </c>
      <c r="AA77" s="89"/>
      <c r="AB77" s="18"/>
      <c r="AC77" s="43">
        <v>70400</v>
      </c>
      <c r="AD77" s="19">
        <f t="shared" si="175"/>
        <v>0</v>
      </c>
      <c r="AE77" s="17">
        <f t="shared" si="211"/>
        <v>0</v>
      </c>
      <c r="AF77" s="18">
        <f t="shared" si="211"/>
        <v>0</v>
      </c>
      <c r="AG77" s="18">
        <f t="shared" si="211"/>
        <v>73000</v>
      </c>
      <c r="AH77" s="19">
        <f t="shared" si="212"/>
        <v>0</v>
      </c>
      <c r="AI77" s="17">
        <f t="shared" ref="AI77:AK94" si="219">AE77+O77</f>
        <v>0</v>
      </c>
      <c r="AJ77" s="18">
        <f t="shared" si="219"/>
        <v>25610.5</v>
      </c>
      <c r="AK77" s="18">
        <f t="shared" si="219"/>
        <v>101500</v>
      </c>
      <c r="AL77" s="19">
        <f t="shared" si="179"/>
        <v>25610.5</v>
      </c>
      <c r="AM77" s="25"/>
      <c r="AN77" s="18"/>
      <c r="AO77" s="18">
        <v>-70400</v>
      </c>
      <c r="AP77" s="20">
        <f t="shared" si="200"/>
        <v>0</v>
      </c>
      <c r="AQ77" s="25"/>
      <c r="AR77" s="18"/>
      <c r="AS77" s="43"/>
      <c r="AT77" s="20">
        <f t="shared" si="201"/>
        <v>0</v>
      </c>
      <c r="AU77" s="25"/>
      <c r="AV77" s="18"/>
      <c r="AW77" s="43"/>
      <c r="AX77" s="20">
        <f t="shared" si="202"/>
        <v>0</v>
      </c>
      <c r="AY77" s="17">
        <f t="shared" si="213"/>
        <v>0</v>
      </c>
      <c r="AZ77" s="18">
        <f t="shared" si="213"/>
        <v>0</v>
      </c>
      <c r="BA77" s="18">
        <f t="shared" si="213"/>
        <v>-70400</v>
      </c>
      <c r="BB77" s="19">
        <f t="shared" si="184"/>
        <v>0</v>
      </c>
      <c r="BC77" s="190">
        <f t="shared" si="214"/>
        <v>0</v>
      </c>
      <c r="BD77" s="84">
        <f t="shared" si="214"/>
        <v>25610.5</v>
      </c>
      <c r="BE77" s="84">
        <f t="shared" si="214"/>
        <v>31100</v>
      </c>
      <c r="BF77" s="170">
        <f t="shared" si="186"/>
        <v>25610.5</v>
      </c>
      <c r="BG77" s="89"/>
      <c r="BH77" s="18"/>
      <c r="BI77" s="43"/>
      <c r="BJ77" s="41">
        <f t="shared" si="203"/>
        <v>0</v>
      </c>
      <c r="BK77" s="90"/>
      <c r="BL77" s="43">
        <v>2889.5</v>
      </c>
      <c r="BM77" s="43"/>
      <c r="BN77" s="41">
        <f t="shared" si="204"/>
        <v>2889.5</v>
      </c>
      <c r="BO77" s="90"/>
      <c r="BP77" s="43">
        <v>2600</v>
      </c>
      <c r="BQ77" s="43"/>
      <c r="BR77" s="41">
        <f t="shared" si="189"/>
        <v>2600</v>
      </c>
      <c r="BS77" s="17">
        <f t="shared" si="215"/>
        <v>0</v>
      </c>
      <c r="BT77" s="18">
        <f t="shared" si="215"/>
        <v>5489.5</v>
      </c>
      <c r="BU77" s="18">
        <f t="shared" si="215"/>
        <v>0</v>
      </c>
      <c r="BV77" s="20">
        <f t="shared" si="205"/>
        <v>5489.5</v>
      </c>
      <c r="BW77" s="17">
        <f t="shared" si="216"/>
        <v>0</v>
      </c>
      <c r="BX77" s="18">
        <f t="shared" si="216"/>
        <v>5489.5</v>
      </c>
      <c r="BY77" s="18">
        <f t="shared" si="216"/>
        <v>-70400</v>
      </c>
      <c r="BZ77" s="20">
        <f t="shared" si="206"/>
        <v>5489.5</v>
      </c>
      <c r="CA77" s="128">
        <f t="shared" ref="CA77:CC92" si="220">BW77+AI77</f>
        <v>0</v>
      </c>
      <c r="CB77" s="18">
        <f t="shared" si="220"/>
        <v>31100</v>
      </c>
      <c r="CC77" s="18">
        <f t="shared" si="220"/>
        <v>31100</v>
      </c>
      <c r="CD77" s="20">
        <f t="shared" si="209"/>
        <v>31100</v>
      </c>
      <c r="CH77" s="3"/>
      <c r="CJ77" s="91">
        <f t="shared" ref="CJ77:CM91" si="221">BG77+BK77+BO77</f>
        <v>0</v>
      </c>
      <c r="CK77" s="91">
        <f t="shared" si="221"/>
        <v>5489.5</v>
      </c>
      <c r="CL77" s="91">
        <f t="shared" si="221"/>
        <v>0</v>
      </c>
      <c r="CM77" s="91">
        <f t="shared" si="221"/>
        <v>5489.5</v>
      </c>
      <c r="CN77" s="91">
        <f t="shared" si="166"/>
        <v>0</v>
      </c>
      <c r="CO77" s="91">
        <f t="shared" si="166"/>
        <v>31100</v>
      </c>
      <c r="CP77" s="91">
        <f t="shared" si="166"/>
        <v>31100</v>
      </c>
      <c r="CQ77" s="91">
        <f t="shared" si="166"/>
        <v>31100</v>
      </c>
    </row>
    <row r="78" spans="1:95" ht="16.5" hidden="1" outlineLevel="1" x14ac:dyDescent="0.3">
      <c r="A78" s="42"/>
      <c r="B78" s="26" t="s">
        <v>83</v>
      </c>
      <c r="C78" s="168"/>
      <c r="D78" s="18"/>
      <c r="E78" s="43"/>
      <c r="F78" s="170">
        <f t="shared" si="167"/>
        <v>0</v>
      </c>
      <c r="G78" s="89"/>
      <c r="H78" s="17">
        <f>5250+10000</f>
        <v>15250</v>
      </c>
      <c r="I78" s="43">
        <f>10000+5250</f>
        <v>15250</v>
      </c>
      <c r="J78" s="19">
        <f t="shared" si="168"/>
        <v>15250</v>
      </c>
      <c r="K78" s="25"/>
      <c r="L78" s="18"/>
      <c r="M78" s="18"/>
      <c r="N78" s="19">
        <f t="shared" si="197"/>
        <v>0</v>
      </c>
      <c r="O78" s="17">
        <f t="shared" si="218"/>
        <v>0</v>
      </c>
      <c r="P78" s="43">
        <f t="shared" si="210"/>
        <v>15250</v>
      </c>
      <c r="Q78" s="43">
        <f t="shared" si="210"/>
        <v>15250</v>
      </c>
      <c r="R78" s="19">
        <f t="shared" si="172"/>
        <v>15250</v>
      </c>
      <c r="S78" s="25"/>
      <c r="T78" s="18"/>
      <c r="U78" s="43"/>
      <c r="V78" s="19">
        <f t="shared" si="198"/>
        <v>0</v>
      </c>
      <c r="W78" s="25"/>
      <c r="X78" s="18">
        <v>9300</v>
      </c>
      <c r="Y78" s="19">
        <v>9300</v>
      </c>
      <c r="Z78" s="18">
        <f t="shared" si="199"/>
        <v>9300</v>
      </c>
      <c r="AA78" s="89"/>
      <c r="AB78" s="18"/>
      <c r="AC78" s="18"/>
      <c r="AD78" s="19">
        <f t="shared" si="175"/>
        <v>0</v>
      </c>
      <c r="AE78" s="17">
        <f t="shared" si="211"/>
        <v>0</v>
      </c>
      <c r="AF78" s="18">
        <f t="shared" si="211"/>
        <v>9300</v>
      </c>
      <c r="AG78" s="18">
        <f t="shared" si="211"/>
        <v>9300</v>
      </c>
      <c r="AH78" s="19">
        <f t="shared" si="212"/>
        <v>9300</v>
      </c>
      <c r="AI78" s="17">
        <f t="shared" si="219"/>
        <v>0</v>
      </c>
      <c r="AJ78" s="18">
        <f t="shared" si="219"/>
        <v>24550</v>
      </c>
      <c r="AK78" s="18">
        <f t="shared" si="219"/>
        <v>24550</v>
      </c>
      <c r="AL78" s="19">
        <f t="shared" si="179"/>
        <v>24550</v>
      </c>
      <c r="AM78" s="25"/>
      <c r="AN78" s="18"/>
      <c r="AO78" s="18"/>
      <c r="AP78" s="20">
        <f t="shared" si="200"/>
        <v>0</v>
      </c>
      <c r="AQ78" s="25"/>
      <c r="AR78" s="18"/>
      <c r="AS78" s="43">
        <v>10560</v>
      </c>
      <c r="AT78" s="20">
        <f t="shared" si="201"/>
        <v>0</v>
      </c>
      <c r="AU78" s="25"/>
      <c r="AV78" s="18">
        <v>10560</v>
      </c>
      <c r="AW78" s="43"/>
      <c r="AX78" s="20">
        <f t="shared" si="202"/>
        <v>10560</v>
      </c>
      <c r="AY78" s="17">
        <f t="shared" si="213"/>
        <v>0</v>
      </c>
      <c r="AZ78" s="18">
        <f t="shared" si="213"/>
        <v>10560</v>
      </c>
      <c r="BA78" s="18">
        <f t="shared" si="213"/>
        <v>10560</v>
      </c>
      <c r="BB78" s="19">
        <f t="shared" si="184"/>
        <v>10560</v>
      </c>
      <c r="BC78" s="190">
        <f t="shared" si="214"/>
        <v>0</v>
      </c>
      <c r="BD78" s="84">
        <f t="shared" si="214"/>
        <v>35110</v>
      </c>
      <c r="BE78" s="84">
        <f t="shared" si="214"/>
        <v>35110</v>
      </c>
      <c r="BF78" s="170">
        <f t="shared" si="186"/>
        <v>35110</v>
      </c>
      <c r="BG78" s="89"/>
      <c r="BH78" s="18"/>
      <c r="BI78" s="43"/>
      <c r="BJ78" s="41">
        <f t="shared" si="203"/>
        <v>0</v>
      </c>
      <c r="BK78" s="90"/>
      <c r="BL78" s="43"/>
      <c r="BM78" s="43"/>
      <c r="BN78" s="41">
        <f t="shared" si="204"/>
        <v>0</v>
      </c>
      <c r="BO78" s="90"/>
      <c r="BP78" s="43">
        <f>650+11923</f>
        <v>12573</v>
      </c>
      <c r="BQ78" s="43">
        <f>11923+650</f>
        <v>12573</v>
      </c>
      <c r="BR78" s="41">
        <f t="shared" si="189"/>
        <v>12573</v>
      </c>
      <c r="BS78" s="17">
        <f t="shared" si="215"/>
        <v>0</v>
      </c>
      <c r="BT78" s="18">
        <f t="shared" si="215"/>
        <v>12573</v>
      </c>
      <c r="BU78" s="18">
        <f t="shared" si="215"/>
        <v>12573</v>
      </c>
      <c r="BV78" s="20">
        <f t="shared" si="205"/>
        <v>12573</v>
      </c>
      <c r="BW78" s="17">
        <f t="shared" si="216"/>
        <v>0</v>
      </c>
      <c r="BX78" s="18">
        <f t="shared" si="216"/>
        <v>23133</v>
      </c>
      <c r="BY78" s="18">
        <f t="shared" si="216"/>
        <v>23133</v>
      </c>
      <c r="BZ78" s="20">
        <f t="shared" si="206"/>
        <v>23133</v>
      </c>
      <c r="CA78" s="128">
        <f t="shared" si="220"/>
        <v>0</v>
      </c>
      <c r="CB78" s="18">
        <f t="shared" si="220"/>
        <v>47683</v>
      </c>
      <c r="CC78" s="18">
        <f t="shared" si="220"/>
        <v>47683</v>
      </c>
      <c r="CD78" s="20">
        <f t="shared" si="209"/>
        <v>47683</v>
      </c>
      <c r="CH78" s="3"/>
      <c r="CJ78" s="91">
        <f t="shared" si="221"/>
        <v>0</v>
      </c>
      <c r="CK78" s="91">
        <f t="shared" si="221"/>
        <v>12573</v>
      </c>
      <c r="CL78" s="91">
        <f t="shared" si="221"/>
        <v>12573</v>
      </c>
      <c r="CM78" s="91">
        <f t="shared" si="221"/>
        <v>12573</v>
      </c>
      <c r="CN78" s="91">
        <f t="shared" si="166"/>
        <v>0</v>
      </c>
      <c r="CO78" s="91">
        <f t="shared" si="166"/>
        <v>47683</v>
      </c>
      <c r="CP78" s="91">
        <f t="shared" si="166"/>
        <v>47683</v>
      </c>
      <c r="CQ78" s="91">
        <f t="shared" si="166"/>
        <v>47683</v>
      </c>
    </row>
    <row r="79" spans="1:95" ht="16.5" hidden="1" outlineLevel="1" x14ac:dyDescent="0.3">
      <c r="A79" s="42"/>
      <c r="B79" s="133" t="s">
        <v>84</v>
      </c>
      <c r="C79" s="168"/>
      <c r="D79" s="18"/>
      <c r="E79" s="43"/>
      <c r="F79" s="170">
        <f t="shared" si="167"/>
        <v>0</v>
      </c>
      <c r="G79" s="89"/>
      <c r="H79" s="18"/>
      <c r="I79" s="43"/>
      <c r="J79" s="19">
        <f t="shared" si="168"/>
        <v>0</v>
      </c>
      <c r="K79" s="25"/>
      <c r="L79" s="18">
        <v>18819.89</v>
      </c>
      <c r="M79" s="18">
        <v>18819.89</v>
      </c>
      <c r="N79" s="19">
        <f t="shared" si="197"/>
        <v>18819.89</v>
      </c>
      <c r="O79" s="17">
        <f t="shared" si="218"/>
        <v>0</v>
      </c>
      <c r="P79" s="43">
        <f t="shared" si="210"/>
        <v>18819.89</v>
      </c>
      <c r="Q79" s="43">
        <f t="shared" si="210"/>
        <v>18819.89</v>
      </c>
      <c r="R79" s="19">
        <f t="shared" si="172"/>
        <v>18819.89</v>
      </c>
      <c r="S79" s="25"/>
      <c r="T79" s="18">
        <v>1455.79</v>
      </c>
      <c r="U79" s="43">
        <v>1455.79</v>
      </c>
      <c r="V79" s="19">
        <f t="shared" si="198"/>
        <v>1455.79</v>
      </c>
      <c r="W79" s="25"/>
      <c r="X79" s="18"/>
      <c r="Y79" s="19"/>
      <c r="Z79" s="18">
        <f t="shared" si="199"/>
        <v>0</v>
      </c>
      <c r="AA79" s="89"/>
      <c r="AB79" s="18"/>
      <c r="AC79" s="18"/>
      <c r="AD79" s="19">
        <f t="shared" si="175"/>
        <v>0</v>
      </c>
      <c r="AE79" s="17">
        <f t="shared" si="211"/>
        <v>0</v>
      </c>
      <c r="AF79" s="18">
        <v>1455.79</v>
      </c>
      <c r="AG79" s="18">
        <f t="shared" si="211"/>
        <v>1455.79</v>
      </c>
      <c r="AH79" s="19">
        <f t="shared" si="212"/>
        <v>1455.79</v>
      </c>
      <c r="AI79" s="17">
        <f t="shared" si="219"/>
        <v>0</v>
      </c>
      <c r="AJ79" s="18">
        <f t="shared" si="219"/>
        <v>20275.68</v>
      </c>
      <c r="AK79" s="18">
        <f t="shared" si="219"/>
        <v>20275.68</v>
      </c>
      <c r="AL79" s="19">
        <f t="shared" si="179"/>
        <v>20275.68</v>
      </c>
      <c r="AM79" s="25"/>
      <c r="AN79" s="18"/>
      <c r="AO79" s="18"/>
      <c r="AP79" s="20">
        <f t="shared" si="200"/>
        <v>0</v>
      </c>
      <c r="AQ79" s="25"/>
      <c r="AR79" s="18"/>
      <c r="AS79" s="43"/>
      <c r="AT79" s="20">
        <f t="shared" si="201"/>
        <v>0</v>
      </c>
      <c r="AU79" s="25"/>
      <c r="AV79" s="18"/>
      <c r="AW79" s="43"/>
      <c r="AX79" s="20">
        <f t="shared" si="202"/>
        <v>0</v>
      </c>
      <c r="AY79" s="17">
        <f t="shared" si="213"/>
        <v>0</v>
      </c>
      <c r="AZ79" s="18">
        <f t="shared" si="213"/>
        <v>0</v>
      </c>
      <c r="BA79" s="18">
        <f t="shared" si="213"/>
        <v>0</v>
      </c>
      <c r="BB79" s="19">
        <f t="shared" si="184"/>
        <v>0</v>
      </c>
      <c r="BC79" s="190">
        <f t="shared" si="214"/>
        <v>0</v>
      </c>
      <c r="BD79" s="84">
        <f t="shared" si="214"/>
        <v>20275.68</v>
      </c>
      <c r="BE79" s="84">
        <f t="shared" si="214"/>
        <v>20275.68</v>
      </c>
      <c r="BF79" s="170">
        <f t="shared" si="186"/>
        <v>20275.68</v>
      </c>
      <c r="BG79" s="89"/>
      <c r="BH79" s="18"/>
      <c r="BI79" s="43"/>
      <c r="BJ79" s="41">
        <f t="shared" si="203"/>
        <v>0</v>
      </c>
      <c r="BK79" s="90"/>
      <c r="BL79" s="43"/>
      <c r="BM79" s="43"/>
      <c r="BN79" s="41">
        <f t="shared" si="204"/>
        <v>0</v>
      </c>
      <c r="BO79" s="90"/>
      <c r="BP79" s="43"/>
      <c r="BQ79" s="43"/>
      <c r="BR79" s="41">
        <f t="shared" si="189"/>
        <v>0</v>
      </c>
      <c r="BS79" s="17">
        <f t="shared" si="215"/>
        <v>0</v>
      </c>
      <c r="BT79" s="18">
        <f t="shared" si="215"/>
        <v>0</v>
      </c>
      <c r="BU79" s="18">
        <f t="shared" si="215"/>
        <v>0</v>
      </c>
      <c r="BV79" s="20">
        <f t="shared" si="205"/>
        <v>0</v>
      </c>
      <c r="BW79" s="17">
        <f t="shared" si="216"/>
        <v>0</v>
      </c>
      <c r="BX79" s="18">
        <f t="shared" si="216"/>
        <v>0</v>
      </c>
      <c r="BY79" s="18">
        <f t="shared" si="216"/>
        <v>0</v>
      </c>
      <c r="BZ79" s="20">
        <f t="shared" si="206"/>
        <v>0</v>
      </c>
      <c r="CA79" s="128">
        <f t="shared" si="220"/>
        <v>0</v>
      </c>
      <c r="CB79" s="18">
        <f t="shared" si="220"/>
        <v>20275.68</v>
      </c>
      <c r="CC79" s="18">
        <f t="shared" si="220"/>
        <v>20275.68</v>
      </c>
      <c r="CD79" s="20">
        <f t="shared" si="209"/>
        <v>20275.68</v>
      </c>
      <c r="CH79" s="3"/>
      <c r="CJ79" s="91">
        <f t="shared" si="221"/>
        <v>0</v>
      </c>
      <c r="CK79" s="91">
        <f t="shared" si="221"/>
        <v>0</v>
      </c>
      <c r="CL79" s="91">
        <f t="shared" si="221"/>
        <v>0</v>
      </c>
      <c r="CM79" s="91">
        <f t="shared" si="221"/>
        <v>0</v>
      </c>
      <c r="CN79" s="91">
        <f t="shared" si="166"/>
        <v>0</v>
      </c>
      <c r="CO79" s="91">
        <f t="shared" si="166"/>
        <v>20275.68</v>
      </c>
      <c r="CP79" s="91">
        <f t="shared" si="166"/>
        <v>20275.68</v>
      </c>
      <c r="CQ79" s="91">
        <f t="shared" si="166"/>
        <v>20275.68</v>
      </c>
    </row>
    <row r="80" spans="1:95" ht="16.5" hidden="1" outlineLevel="1" x14ac:dyDescent="0.3">
      <c r="A80" s="42">
        <v>8.1</v>
      </c>
      <c r="B80" s="26" t="s">
        <v>155</v>
      </c>
      <c r="C80" s="168"/>
      <c r="D80" s="18"/>
      <c r="E80" s="43"/>
      <c r="F80" s="170">
        <f t="shared" si="167"/>
        <v>0</v>
      </c>
      <c r="G80" s="89"/>
      <c r="H80" s="18"/>
      <c r="I80" s="43"/>
      <c r="J80" s="19">
        <f t="shared" si="168"/>
        <v>0</v>
      </c>
      <c r="K80" s="25"/>
      <c r="L80" s="18"/>
      <c r="M80" s="18"/>
      <c r="N80" s="19">
        <f t="shared" si="197"/>
        <v>0</v>
      </c>
      <c r="O80" s="17">
        <f t="shared" si="218"/>
        <v>0</v>
      </c>
      <c r="P80" s="43">
        <f t="shared" si="210"/>
        <v>0</v>
      </c>
      <c r="Q80" s="43">
        <f t="shared" si="210"/>
        <v>0</v>
      </c>
      <c r="R80" s="19">
        <f t="shared" si="172"/>
        <v>0</v>
      </c>
      <c r="S80" s="25"/>
      <c r="T80" s="18"/>
      <c r="U80" s="43"/>
      <c r="V80" s="19">
        <f t="shared" si="198"/>
        <v>0</v>
      </c>
      <c r="W80" s="25"/>
      <c r="X80" s="18"/>
      <c r="Y80" s="19"/>
      <c r="Z80" s="18">
        <f t="shared" si="199"/>
        <v>0</v>
      </c>
      <c r="AA80" s="89"/>
      <c r="AB80" s="18"/>
      <c r="AC80" s="18"/>
      <c r="AD80" s="19">
        <f t="shared" si="175"/>
        <v>0</v>
      </c>
      <c r="AE80" s="17">
        <f t="shared" si="211"/>
        <v>0</v>
      </c>
      <c r="AF80" s="18">
        <f t="shared" si="211"/>
        <v>0</v>
      </c>
      <c r="AG80" s="18">
        <f t="shared" si="211"/>
        <v>0</v>
      </c>
      <c r="AH80" s="19">
        <f t="shared" si="212"/>
        <v>0</v>
      </c>
      <c r="AI80" s="17">
        <f t="shared" si="219"/>
        <v>0</v>
      </c>
      <c r="AJ80" s="18">
        <f t="shared" si="219"/>
        <v>0</v>
      </c>
      <c r="AK80" s="18">
        <f t="shared" si="219"/>
        <v>0</v>
      </c>
      <c r="AL80" s="19">
        <f t="shared" si="179"/>
        <v>0</v>
      </c>
      <c r="AM80" s="25"/>
      <c r="AN80" s="18"/>
      <c r="AO80" s="43"/>
      <c r="AP80" s="20">
        <f t="shared" si="200"/>
        <v>0</v>
      </c>
      <c r="AQ80" s="25"/>
      <c r="AR80" s="18"/>
      <c r="AS80" s="43"/>
      <c r="AT80" s="20">
        <f t="shared" si="201"/>
        <v>0</v>
      </c>
      <c r="AU80" s="25"/>
      <c r="AV80" s="18"/>
      <c r="AW80" s="43"/>
      <c r="AX80" s="20">
        <f t="shared" si="202"/>
        <v>0</v>
      </c>
      <c r="AY80" s="17">
        <f t="shared" si="213"/>
        <v>0</v>
      </c>
      <c r="AZ80" s="18">
        <f t="shared" si="213"/>
        <v>0</v>
      </c>
      <c r="BA80" s="18">
        <f t="shared" si="213"/>
        <v>0</v>
      </c>
      <c r="BB80" s="19">
        <f t="shared" si="184"/>
        <v>0</v>
      </c>
      <c r="BC80" s="190">
        <f t="shared" si="214"/>
        <v>0</v>
      </c>
      <c r="BD80" s="84">
        <f t="shared" si="214"/>
        <v>0</v>
      </c>
      <c r="BE80" s="84">
        <f t="shared" si="214"/>
        <v>0</v>
      </c>
      <c r="BF80" s="170">
        <f t="shared" si="186"/>
        <v>0</v>
      </c>
      <c r="BG80" s="89"/>
      <c r="BH80" s="18"/>
      <c r="BI80" s="43"/>
      <c r="BJ80" s="41">
        <f t="shared" si="203"/>
        <v>0</v>
      </c>
      <c r="BK80" s="90"/>
      <c r="BL80" s="43"/>
      <c r="BM80" s="43"/>
      <c r="BN80" s="41">
        <f t="shared" si="204"/>
        <v>0</v>
      </c>
      <c r="BO80" s="90"/>
      <c r="BP80" s="43"/>
      <c r="BQ80" s="43"/>
      <c r="BR80" s="41">
        <f t="shared" si="189"/>
        <v>0</v>
      </c>
      <c r="BS80" s="17">
        <f t="shared" si="215"/>
        <v>0</v>
      </c>
      <c r="BT80" s="18">
        <f t="shared" si="215"/>
        <v>0</v>
      </c>
      <c r="BU80" s="18">
        <f t="shared" si="215"/>
        <v>0</v>
      </c>
      <c r="BV80" s="20">
        <f t="shared" si="205"/>
        <v>0</v>
      </c>
      <c r="BW80" s="17">
        <f t="shared" si="216"/>
        <v>0</v>
      </c>
      <c r="BX80" s="18">
        <f t="shared" si="216"/>
        <v>0</v>
      </c>
      <c r="BY80" s="18">
        <f t="shared" si="216"/>
        <v>0</v>
      </c>
      <c r="BZ80" s="20">
        <f t="shared" si="206"/>
        <v>0</v>
      </c>
      <c r="CA80" s="128">
        <f t="shared" si="220"/>
        <v>0</v>
      </c>
      <c r="CB80" s="18">
        <f t="shared" si="220"/>
        <v>0</v>
      </c>
      <c r="CC80" s="18">
        <f t="shared" si="220"/>
        <v>0</v>
      </c>
      <c r="CD80" s="20">
        <f t="shared" si="209"/>
        <v>0</v>
      </c>
      <c r="CE80" s="94"/>
      <c r="CF80" s="94"/>
      <c r="CG80" s="94"/>
      <c r="CH80" s="3"/>
      <c r="CI80" s="94"/>
      <c r="CJ80" s="91">
        <f t="shared" si="221"/>
        <v>0</v>
      </c>
      <c r="CK80" s="91">
        <f t="shared" si="221"/>
        <v>0</v>
      </c>
      <c r="CL80" s="91">
        <f t="shared" si="221"/>
        <v>0</v>
      </c>
      <c r="CM80" s="91">
        <f t="shared" si="221"/>
        <v>0</v>
      </c>
      <c r="CN80" s="91">
        <f t="shared" si="166"/>
        <v>0</v>
      </c>
      <c r="CO80" s="91">
        <f t="shared" si="166"/>
        <v>0</v>
      </c>
      <c r="CP80" s="91">
        <f t="shared" si="166"/>
        <v>0</v>
      </c>
      <c r="CQ80" s="91">
        <f t="shared" si="166"/>
        <v>0</v>
      </c>
    </row>
    <row r="81" spans="1:95" ht="16.5" hidden="1" outlineLevel="1" x14ac:dyDescent="0.3">
      <c r="A81" s="42">
        <v>8.1</v>
      </c>
      <c r="B81" s="26" t="s">
        <v>85</v>
      </c>
      <c r="C81" s="168"/>
      <c r="D81" s="18"/>
      <c r="E81" s="43"/>
      <c r="F81" s="170">
        <f t="shared" si="167"/>
        <v>0</v>
      </c>
      <c r="G81" s="89"/>
      <c r="H81" s="18"/>
      <c r="I81" s="43"/>
      <c r="J81" s="19">
        <f t="shared" si="168"/>
        <v>0</v>
      </c>
      <c r="K81" s="25"/>
      <c r="L81" s="18"/>
      <c r="M81" s="18"/>
      <c r="N81" s="19">
        <f t="shared" si="197"/>
        <v>0</v>
      </c>
      <c r="O81" s="17">
        <f t="shared" si="218"/>
        <v>0</v>
      </c>
      <c r="P81" s="43">
        <f t="shared" si="210"/>
        <v>0</v>
      </c>
      <c r="Q81" s="43">
        <f t="shared" si="210"/>
        <v>0</v>
      </c>
      <c r="R81" s="19">
        <f t="shared" si="172"/>
        <v>0</v>
      </c>
      <c r="S81" s="25"/>
      <c r="T81" s="18"/>
      <c r="U81" s="43"/>
      <c r="V81" s="19">
        <f t="shared" si="198"/>
        <v>0</v>
      </c>
      <c r="W81" s="25"/>
      <c r="X81" s="18"/>
      <c r="Y81" s="19"/>
      <c r="Z81" s="18">
        <f t="shared" si="199"/>
        <v>0</v>
      </c>
      <c r="AA81" s="89"/>
      <c r="AB81" s="18"/>
      <c r="AC81" s="18"/>
      <c r="AD81" s="19">
        <f t="shared" si="175"/>
        <v>0</v>
      </c>
      <c r="AE81" s="17">
        <f t="shared" si="211"/>
        <v>0</v>
      </c>
      <c r="AF81" s="18">
        <f t="shared" si="211"/>
        <v>0</v>
      </c>
      <c r="AG81" s="18">
        <f t="shared" si="211"/>
        <v>0</v>
      </c>
      <c r="AH81" s="19">
        <f t="shared" si="212"/>
        <v>0</v>
      </c>
      <c r="AI81" s="17">
        <f t="shared" si="219"/>
        <v>0</v>
      </c>
      <c r="AJ81" s="18">
        <f t="shared" si="219"/>
        <v>0</v>
      </c>
      <c r="AK81" s="18">
        <f t="shared" si="219"/>
        <v>0</v>
      </c>
      <c r="AL81" s="19">
        <f t="shared" si="179"/>
        <v>0</v>
      </c>
      <c r="AM81" s="25"/>
      <c r="AN81" s="18"/>
      <c r="AO81" s="43"/>
      <c r="AP81" s="20">
        <f t="shared" si="200"/>
        <v>0</v>
      </c>
      <c r="AQ81" s="25"/>
      <c r="AR81" s="18"/>
      <c r="AS81" s="43"/>
      <c r="AT81" s="20">
        <f t="shared" si="201"/>
        <v>0</v>
      </c>
      <c r="AU81" s="25"/>
      <c r="AV81" s="18"/>
      <c r="AW81" s="43"/>
      <c r="AX81" s="20">
        <f t="shared" si="202"/>
        <v>0</v>
      </c>
      <c r="AY81" s="17">
        <f t="shared" si="213"/>
        <v>0</v>
      </c>
      <c r="AZ81" s="18">
        <f t="shared" si="213"/>
        <v>0</v>
      </c>
      <c r="BA81" s="18">
        <f t="shared" si="213"/>
        <v>0</v>
      </c>
      <c r="BB81" s="19">
        <f t="shared" si="184"/>
        <v>0</v>
      </c>
      <c r="BC81" s="190">
        <f t="shared" si="214"/>
        <v>0</v>
      </c>
      <c r="BD81" s="84">
        <f t="shared" si="214"/>
        <v>0</v>
      </c>
      <c r="BE81" s="84">
        <f t="shared" si="214"/>
        <v>0</v>
      </c>
      <c r="BF81" s="170">
        <f t="shared" si="186"/>
        <v>0</v>
      </c>
      <c r="BG81" s="89"/>
      <c r="BH81" s="18"/>
      <c r="BI81" s="43"/>
      <c r="BJ81" s="41">
        <f t="shared" si="203"/>
        <v>0</v>
      </c>
      <c r="BK81" s="90"/>
      <c r="BL81" s="43"/>
      <c r="BM81" s="43"/>
      <c r="BN81" s="41">
        <f t="shared" si="204"/>
        <v>0</v>
      </c>
      <c r="BO81" s="90"/>
      <c r="BP81" s="43"/>
      <c r="BQ81" s="43"/>
      <c r="BR81" s="41">
        <f t="shared" si="189"/>
        <v>0</v>
      </c>
      <c r="BS81" s="17">
        <f t="shared" si="215"/>
        <v>0</v>
      </c>
      <c r="BT81" s="18">
        <f t="shared" si="215"/>
        <v>0</v>
      </c>
      <c r="BU81" s="18">
        <f t="shared" si="215"/>
        <v>0</v>
      </c>
      <c r="BV81" s="20">
        <f t="shared" si="205"/>
        <v>0</v>
      </c>
      <c r="BW81" s="17">
        <f t="shared" si="216"/>
        <v>0</v>
      </c>
      <c r="BX81" s="18">
        <f t="shared" si="216"/>
        <v>0</v>
      </c>
      <c r="BY81" s="18">
        <f t="shared" si="216"/>
        <v>0</v>
      </c>
      <c r="BZ81" s="20">
        <f t="shared" si="206"/>
        <v>0</v>
      </c>
      <c r="CA81" s="128">
        <f t="shared" si="220"/>
        <v>0</v>
      </c>
      <c r="CB81" s="18">
        <f t="shared" si="220"/>
        <v>0</v>
      </c>
      <c r="CC81" s="18">
        <f t="shared" si="220"/>
        <v>0</v>
      </c>
      <c r="CD81" s="20">
        <f t="shared" si="209"/>
        <v>0</v>
      </c>
      <c r="CE81" s="94"/>
      <c r="CF81" s="94"/>
      <c r="CG81" s="94"/>
      <c r="CH81" s="3"/>
      <c r="CI81" s="94"/>
      <c r="CJ81" s="91">
        <f t="shared" si="221"/>
        <v>0</v>
      </c>
      <c r="CK81" s="91">
        <f t="shared" si="221"/>
        <v>0</v>
      </c>
      <c r="CL81" s="91">
        <f t="shared" si="221"/>
        <v>0</v>
      </c>
      <c r="CM81" s="91">
        <f t="shared" si="221"/>
        <v>0</v>
      </c>
      <c r="CN81" s="91">
        <f t="shared" si="166"/>
        <v>0</v>
      </c>
      <c r="CO81" s="91">
        <f t="shared" si="166"/>
        <v>0</v>
      </c>
      <c r="CP81" s="91">
        <f t="shared" si="166"/>
        <v>0</v>
      </c>
      <c r="CQ81" s="91">
        <f t="shared" si="166"/>
        <v>0</v>
      </c>
    </row>
    <row r="82" spans="1:95" ht="21.75" hidden="1" customHeight="1" outlineLevel="1" x14ac:dyDescent="0.3">
      <c r="A82" s="42">
        <v>8.1</v>
      </c>
      <c r="B82" s="26" t="s">
        <v>86</v>
      </c>
      <c r="C82" s="168"/>
      <c r="D82" s="18"/>
      <c r="E82" s="43"/>
      <c r="F82" s="170">
        <f t="shared" si="167"/>
        <v>0</v>
      </c>
      <c r="G82" s="89"/>
      <c r="H82" s="18"/>
      <c r="I82" s="18"/>
      <c r="J82" s="19">
        <f t="shared" si="168"/>
        <v>0</v>
      </c>
      <c r="K82" s="25"/>
      <c r="L82" s="18"/>
      <c r="M82" s="18"/>
      <c r="N82" s="19">
        <f t="shared" si="197"/>
        <v>0</v>
      </c>
      <c r="O82" s="17">
        <f t="shared" si="218"/>
        <v>0</v>
      </c>
      <c r="P82" s="43">
        <f t="shared" si="210"/>
        <v>0</v>
      </c>
      <c r="Q82" s="43">
        <f t="shared" si="210"/>
        <v>0</v>
      </c>
      <c r="R82" s="19">
        <f t="shared" si="172"/>
        <v>0</v>
      </c>
      <c r="S82" s="25"/>
      <c r="T82" s="18"/>
      <c r="U82" s="43"/>
      <c r="V82" s="19">
        <f t="shared" si="198"/>
        <v>0</v>
      </c>
      <c r="W82" s="25"/>
      <c r="X82" s="18"/>
      <c r="Y82" s="19"/>
      <c r="Z82" s="18">
        <f t="shared" si="199"/>
        <v>0</v>
      </c>
      <c r="AA82" s="89"/>
      <c r="AB82" s="18"/>
      <c r="AC82" s="18"/>
      <c r="AD82" s="19">
        <f t="shared" si="175"/>
        <v>0</v>
      </c>
      <c r="AE82" s="17">
        <f t="shared" si="211"/>
        <v>0</v>
      </c>
      <c r="AF82" s="18">
        <f t="shared" si="211"/>
        <v>0</v>
      </c>
      <c r="AG82" s="18">
        <f t="shared" si="211"/>
        <v>0</v>
      </c>
      <c r="AH82" s="19">
        <f t="shared" si="212"/>
        <v>0</v>
      </c>
      <c r="AI82" s="17">
        <f t="shared" si="219"/>
        <v>0</v>
      </c>
      <c r="AJ82" s="18">
        <f t="shared" si="219"/>
        <v>0</v>
      </c>
      <c r="AK82" s="18">
        <f t="shared" si="219"/>
        <v>0</v>
      </c>
      <c r="AL82" s="19">
        <f t="shared" si="179"/>
        <v>0</v>
      </c>
      <c r="AM82" s="25"/>
      <c r="AN82" s="18"/>
      <c r="AO82" s="18"/>
      <c r="AP82" s="20"/>
      <c r="AQ82" s="25"/>
      <c r="AR82" s="18"/>
      <c r="AS82" s="43"/>
      <c r="AT82" s="20">
        <f t="shared" si="201"/>
        <v>0</v>
      </c>
      <c r="AU82" s="25"/>
      <c r="AV82" s="18"/>
      <c r="AW82" s="43"/>
      <c r="AX82" s="20">
        <f t="shared" si="202"/>
        <v>0</v>
      </c>
      <c r="AY82" s="17">
        <f t="shared" si="213"/>
        <v>0</v>
      </c>
      <c r="AZ82" s="18">
        <f t="shared" si="213"/>
        <v>0</v>
      </c>
      <c r="BA82" s="18">
        <f t="shared" si="213"/>
        <v>0</v>
      </c>
      <c r="BB82" s="19">
        <f t="shared" si="184"/>
        <v>0</v>
      </c>
      <c r="BC82" s="190">
        <f t="shared" si="214"/>
        <v>0</v>
      </c>
      <c r="BD82" s="84">
        <f t="shared" si="214"/>
        <v>0</v>
      </c>
      <c r="BE82" s="84">
        <f t="shared" si="214"/>
        <v>0</v>
      </c>
      <c r="BF82" s="170">
        <f t="shared" si="186"/>
        <v>0</v>
      </c>
      <c r="BG82" s="89"/>
      <c r="BH82" s="18"/>
      <c r="BI82" s="43"/>
      <c r="BJ82" s="41">
        <f t="shared" si="203"/>
        <v>0</v>
      </c>
      <c r="BK82" s="90"/>
      <c r="BL82" s="43"/>
      <c r="BM82" s="43"/>
      <c r="BN82" s="41">
        <f t="shared" si="204"/>
        <v>0</v>
      </c>
      <c r="BO82" s="90"/>
      <c r="BP82" s="43"/>
      <c r="BQ82" s="43"/>
      <c r="BR82" s="41">
        <f t="shared" si="189"/>
        <v>0</v>
      </c>
      <c r="BS82" s="17">
        <f t="shared" si="215"/>
        <v>0</v>
      </c>
      <c r="BT82" s="18">
        <f t="shared" si="215"/>
        <v>0</v>
      </c>
      <c r="BU82" s="18">
        <f t="shared" si="215"/>
        <v>0</v>
      </c>
      <c r="BV82" s="20">
        <f t="shared" si="205"/>
        <v>0</v>
      </c>
      <c r="BW82" s="17">
        <f t="shared" si="216"/>
        <v>0</v>
      </c>
      <c r="BX82" s="18">
        <f t="shared" si="216"/>
        <v>0</v>
      </c>
      <c r="BY82" s="18">
        <f t="shared" si="216"/>
        <v>0</v>
      </c>
      <c r="BZ82" s="20">
        <f t="shared" si="206"/>
        <v>0</v>
      </c>
      <c r="CA82" s="128">
        <f t="shared" si="220"/>
        <v>0</v>
      </c>
      <c r="CB82" s="18">
        <f t="shared" si="220"/>
        <v>0</v>
      </c>
      <c r="CC82" s="18">
        <f t="shared" si="220"/>
        <v>0</v>
      </c>
      <c r="CD82" s="20">
        <f t="shared" si="209"/>
        <v>0</v>
      </c>
      <c r="CE82" s="94"/>
      <c r="CF82" s="94"/>
      <c r="CG82" s="94"/>
      <c r="CH82" s="3"/>
      <c r="CI82" s="94"/>
      <c r="CJ82" s="91">
        <f t="shared" si="221"/>
        <v>0</v>
      </c>
      <c r="CK82" s="91">
        <f t="shared" si="221"/>
        <v>0</v>
      </c>
      <c r="CL82" s="91">
        <f t="shared" si="221"/>
        <v>0</v>
      </c>
      <c r="CM82" s="91">
        <f t="shared" si="221"/>
        <v>0</v>
      </c>
      <c r="CN82" s="91">
        <f t="shared" si="166"/>
        <v>0</v>
      </c>
      <c r="CO82" s="91">
        <f t="shared" si="166"/>
        <v>0</v>
      </c>
      <c r="CP82" s="91">
        <f t="shared" si="166"/>
        <v>0</v>
      </c>
      <c r="CQ82" s="91">
        <f t="shared" si="166"/>
        <v>0</v>
      </c>
    </row>
    <row r="83" spans="1:95" ht="16.5" hidden="1" outlineLevel="1" x14ac:dyDescent="0.3">
      <c r="A83" s="42">
        <v>8.1</v>
      </c>
      <c r="B83" s="164" t="s">
        <v>87</v>
      </c>
      <c r="C83" s="168"/>
      <c r="D83" s="18"/>
      <c r="E83" s="43"/>
      <c r="F83" s="170">
        <f t="shared" si="167"/>
        <v>0</v>
      </c>
      <c r="G83" s="89"/>
      <c r="H83" s="18"/>
      <c r="I83" s="18"/>
      <c r="J83" s="19"/>
      <c r="K83" s="25"/>
      <c r="L83" s="18"/>
      <c r="M83" s="18"/>
      <c r="N83" s="19">
        <f t="shared" si="197"/>
        <v>0</v>
      </c>
      <c r="O83" s="17">
        <f t="shared" si="218"/>
        <v>0</v>
      </c>
      <c r="P83" s="43">
        <f t="shared" si="210"/>
        <v>0</v>
      </c>
      <c r="Q83" s="43">
        <f t="shared" si="210"/>
        <v>0</v>
      </c>
      <c r="R83" s="19">
        <f t="shared" si="172"/>
        <v>0</v>
      </c>
      <c r="S83" s="25"/>
      <c r="T83" s="18"/>
      <c r="U83" s="43"/>
      <c r="V83" s="19"/>
      <c r="W83" s="25"/>
      <c r="X83" s="18"/>
      <c r="Y83" s="19"/>
      <c r="Z83" s="18">
        <f t="shared" si="199"/>
        <v>0</v>
      </c>
      <c r="AA83" s="89"/>
      <c r="AB83" s="18"/>
      <c r="AC83" s="18"/>
      <c r="AD83" s="19">
        <f t="shared" si="175"/>
        <v>0</v>
      </c>
      <c r="AE83" s="17">
        <f t="shared" si="211"/>
        <v>0</v>
      </c>
      <c r="AF83" s="18">
        <f t="shared" si="211"/>
        <v>0</v>
      </c>
      <c r="AG83" s="18">
        <f t="shared" si="211"/>
        <v>0</v>
      </c>
      <c r="AH83" s="19">
        <f t="shared" si="212"/>
        <v>0</v>
      </c>
      <c r="AI83" s="17">
        <f t="shared" si="219"/>
        <v>0</v>
      </c>
      <c r="AJ83" s="18">
        <f t="shared" si="219"/>
        <v>0</v>
      </c>
      <c r="AK83" s="18">
        <f t="shared" si="219"/>
        <v>0</v>
      </c>
      <c r="AL83" s="19">
        <f t="shared" si="179"/>
        <v>0</v>
      </c>
      <c r="AM83" s="25"/>
      <c r="AN83" s="18"/>
      <c r="AO83" s="18"/>
      <c r="AP83" s="20"/>
      <c r="AQ83" s="25"/>
      <c r="AR83" s="18"/>
      <c r="AS83" s="43"/>
      <c r="AT83" s="20">
        <f t="shared" si="201"/>
        <v>0</v>
      </c>
      <c r="AU83" s="25"/>
      <c r="AV83" s="18"/>
      <c r="AW83" s="43"/>
      <c r="AX83" s="20">
        <f t="shared" si="202"/>
        <v>0</v>
      </c>
      <c r="AY83" s="17">
        <f t="shared" si="213"/>
        <v>0</v>
      </c>
      <c r="AZ83" s="18">
        <f t="shared" si="213"/>
        <v>0</v>
      </c>
      <c r="BA83" s="18">
        <f t="shared" si="213"/>
        <v>0</v>
      </c>
      <c r="BB83" s="19">
        <f t="shared" si="184"/>
        <v>0</v>
      </c>
      <c r="BC83" s="190">
        <f t="shared" si="214"/>
        <v>0</v>
      </c>
      <c r="BD83" s="84">
        <f t="shared" si="214"/>
        <v>0</v>
      </c>
      <c r="BE83" s="84">
        <f t="shared" si="214"/>
        <v>0</v>
      </c>
      <c r="BF83" s="170">
        <f t="shared" si="186"/>
        <v>0</v>
      </c>
      <c r="BG83" s="89"/>
      <c r="BH83" s="18"/>
      <c r="BI83" s="43"/>
      <c r="BJ83" s="41">
        <f t="shared" si="203"/>
        <v>0</v>
      </c>
      <c r="BK83" s="90"/>
      <c r="BL83" s="43"/>
      <c r="BM83" s="43"/>
      <c r="BN83" s="41">
        <f t="shared" si="204"/>
        <v>0</v>
      </c>
      <c r="BO83" s="90"/>
      <c r="BP83" s="43"/>
      <c r="BQ83" s="43"/>
      <c r="BR83" s="41">
        <f t="shared" si="189"/>
        <v>0</v>
      </c>
      <c r="BS83" s="17">
        <f t="shared" si="215"/>
        <v>0</v>
      </c>
      <c r="BT83" s="18">
        <f t="shared" si="215"/>
        <v>0</v>
      </c>
      <c r="BU83" s="18">
        <f t="shared" si="215"/>
        <v>0</v>
      </c>
      <c r="BV83" s="20">
        <f t="shared" si="205"/>
        <v>0</v>
      </c>
      <c r="BW83" s="17">
        <f t="shared" si="216"/>
        <v>0</v>
      </c>
      <c r="BX83" s="18">
        <f t="shared" si="216"/>
        <v>0</v>
      </c>
      <c r="BY83" s="18">
        <f t="shared" si="216"/>
        <v>0</v>
      </c>
      <c r="BZ83" s="20">
        <f t="shared" si="206"/>
        <v>0</v>
      </c>
      <c r="CA83" s="128">
        <f t="shared" si="220"/>
        <v>0</v>
      </c>
      <c r="CB83" s="18">
        <f t="shared" si="220"/>
        <v>0</v>
      </c>
      <c r="CC83" s="18">
        <f t="shared" si="220"/>
        <v>0</v>
      </c>
      <c r="CD83" s="20">
        <f t="shared" si="209"/>
        <v>0</v>
      </c>
      <c r="CE83" s="94"/>
      <c r="CF83" s="94"/>
      <c r="CG83" s="94"/>
      <c r="CH83" s="3"/>
      <c r="CI83" s="94"/>
      <c r="CJ83" s="91">
        <f t="shared" si="221"/>
        <v>0</v>
      </c>
      <c r="CK83" s="91">
        <f t="shared" si="221"/>
        <v>0</v>
      </c>
      <c r="CL83" s="91">
        <f t="shared" si="221"/>
        <v>0</v>
      </c>
      <c r="CM83" s="91">
        <f t="shared" si="221"/>
        <v>0</v>
      </c>
      <c r="CN83" s="91">
        <f t="shared" si="166"/>
        <v>0</v>
      </c>
      <c r="CO83" s="91">
        <f t="shared" si="166"/>
        <v>0</v>
      </c>
      <c r="CP83" s="91">
        <f t="shared" si="166"/>
        <v>0</v>
      </c>
      <c r="CQ83" s="91">
        <f t="shared" si="166"/>
        <v>0</v>
      </c>
    </row>
    <row r="84" spans="1:95" ht="16.5" hidden="1" outlineLevel="1" x14ac:dyDescent="0.3">
      <c r="A84" s="42">
        <v>8.1</v>
      </c>
      <c r="B84" s="26" t="s">
        <v>88</v>
      </c>
      <c r="C84" s="168"/>
      <c r="D84" s="18"/>
      <c r="E84" s="43"/>
      <c r="F84" s="170">
        <f t="shared" si="167"/>
        <v>0</v>
      </c>
      <c r="G84" s="83"/>
      <c r="H84" s="18"/>
      <c r="I84" s="18"/>
      <c r="J84" s="19">
        <f t="shared" ref="J84:J91" si="222">H84-G84</f>
        <v>0</v>
      </c>
      <c r="K84" s="17"/>
      <c r="L84" s="18"/>
      <c r="M84" s="18"/>
      <c r="N84" s="19">
        <f t="shared" si="197"/>
        <v>0</v>
      </c>
      <c r="O84" s="17">
        <f t="shared" si="218"/>
        <v>0</v>
      </c>
      <c r="P84" s="43">
        <f t="shared" si="210"/>
        <v>0</v>
      </c>
      <c r="Q84" s="43">
        <f t="shared" si="210"/>
        <v>0</v>
      </c>
      <c r="R84" s="19">
        <f t="shared" si="172"/>
        <v>0</v>
      </c>
      <c r="S84" s="17"/>
      <c r="T84" s="18"/>
      <c r="U84" s="43"/>
      <c r="V84" s="19"/>
      <c r="W84" s="17"/>
      <c r="X84" s="18"/>
      <c r="Y84" s="19"/>
      <c r="Z84" s="18">
        <f t="shared" si="199"/>
        <v>0</v>
      </c>
      <c r="AA84" s="83"/>
      <c r="AB84" s="18"/>
      <c r="AC84" s="18"/>
      <c r="AD84" s="19">
        <f t="shared" si="175"/>
        <v>0</v>
      </c>
      <c r="AE84" s="17">
        <f t="shared" si="211"/>
        <v>0</v>
      </c>
      <c r="AF84" s="18">
        <f t="shared" si="211"/>
        <v>0</v>
      </c>
      <c r="AG84" s="18">
        <f t="shared" si="211"/>
        <v>0</v>
      </c>
      <c r="AH84" s="19">
        <f t="shared" si="212"/>
        <v>0</v>
      </c>
      <c r="AI84" s="17">
        <f t="shared" si="219"/>
        <v>0</v>
      </c>
      <c r="AJ84" s="18">
        <f t="shared" si="219"/>
        <v>0</v>
      </c>
      <c r="AK84" s="18">
        <f t="shared" si="219"/>
        <v>0</v>
      </c>
      <c r="AL84" s="19">
        <f t="shared" si="179"/>
        <v>0</v>
      </c>
      <c r="AM84" s="17"/>
      <c r="AN84" s="18"/>
      <c r="AO84" s="18"/>
      <c r="AP84" s="20"/>
      <c r="AQ84" s="17"/>
      <c r="AR84" s="18"/>
      <c r="AS84" s="43"/>
      <c r="AT84" s="20">
        <f t="shared" si="201"/>
        <v>0</v>
      </c>
      <c r="AU84" s="17"/>
      <c r="AV84" s="18"/>
      <c r="AW84" s="43"/>
      <c r="AX84" s="20">
        <f t="shared" si="202"/>
        <v>0</v>
      </c>
      <c r="AY84" s="17">
        <f t="shared" si="213"/>
        <v>0</v>
      </c>
      <c r="AZ84" s="18">
        <f t="shared" si="213"/>
        <v>0</v>
      </c>
      <c r="BA84" s="18">
        <f t="shared" si="213"/>
        <v>0</v>
      </c>
      <c r="BB84" s="19">
        <f t="shared" si="184"/>
        <v>0</v>
      </c>
      <c r="BC84" s="190">
        <f t="shared" si="214"/>
        <v>0</v>
      </c>
      <c r="BD84" s="84">
        <f t="shared" si="214"/>
        <v>0</v>
      </c>
      <c r="BE84" s="84">
        <f t="shared" si="214"/>
        <v>0</v>
      </c>
      <c r="BF84" s="170">
        <f t="shared" si="186"/>
        <v>0</v>
      </c>
      <c r="BG84" s="83"/>
      <c r="BH84" s="18"/>
      <c r="BI84" s="43"/>
      <c r="BJ84" s="41">
        <f t="shared" si="203"/>
        <v>0</v>
      </c>
      <c r="BK84" s="44"/>
      <c r="BL84" s="43"/>
      <c r="BM84" s="43"/>
      <c r="BN84" s="41">
        <f t="shared" si="204"/>
        <v>0</v>
      </c>
      <c r="BO84" s="44"/>
      <c r="BP84" s="43"/>
      <c r="BQ84" s="43"/>
      <c r="BR84" s="41">
        <f t="shared" si="189"/>
        <v>0</v>
      </c>
      <c r="BS84" s="17">
        <f t="shared" si="215"/>
        <v>0</v>
      </c>
      <c r="BT84" s="18">
        <f t="shared" si="215"/>
        <v>0</v>
      </c>
      <c r="BU84" s="18">
        <f t="shared" si="215"/>
        <v>0</v>
      </c>
      <c r="BV84" s="20">
        <f t="shared" si="205"/>
        <v>0</v>
      </c>
      <c r="BW84" s="17">
        <f t="shared" si="216"/>
        <v>0</v>
      </c>
      <c r="BX84" s="18">
        <f t="shared" si="216"/>
        <v>0</v>
      </c>
      <c r="BY84" s="18">
        <f t="shared" si="216"/>
        <v>0</v>
      </c>
      <c r="BZ84" s="20">
        <f t="shared" si="206"/>
        <v>0</v>
      </c>
      <c r="CA84" s="128">
        <f t="shared" si="220"/>
        <v>0</v>
      </c>
      <c r="CB84" s="18">
        <f t="shared" si="220"/>
        <v>0</v>
      </c>
      <c r="CC84" s="18">
        <f t="shared" si="220"/>
        <v>0</v>
      </c>
      <c r="CD84" s="20">
        <f t="shared" si="209"/>
        <v>0</v>
      </c>
      <c r="CE84" s="94"/>
      <c r="CF84" s="94"/>
      <c r="CG84" s="94"/>
      <c r="CH84" s="3"/>
      <c r="CI84" s="94"/>
      <c r="CJ84" s="91">
        <f t="shared" si="221"/>
        <v>0</v>
      </c>
      <c r="CK84" s="91">
        <f t="shared" si="221"/>
        <v>0</v>
      </c>
      <c r="CL84" s="91">
        <f t="shared" si="221"/>
        <v>0</v>
      </c>
      <c r="CM84" s="91">
        <f t="shared" si="221"/>
        <v>0</v>
      </c>
      <c r="CN84" s="91">
        <f t="shared" si="166"/>
        <v>0</v>
      </c>
      <c r="CO84" s="91">
        <f t="shared" si="166"/>
        <v>0</v>
      </c>
      <c r="CP84" s="91">
        <f t="shared" si="166"/>
        <v>0</v>
      </c>
      <c r="CQ84" s="91">
        <f t="shared" si="166"/>
        <v>0</v>
      </c>
    </row>
    <row r="85" spans="1:95" ht="16.5" hidden="1" outlineLevel="1" x14ac:dyDescent="0.3">
      <c r="A85" s="42"/>
      <c r="B85" s="26" t="s">
        <v>165</v>
      </c>
      <c r="C85" s="168"/>
      <c r="D85" s="18">
        <f>274.58+137.29+137.29</f>
        <v>549.16</v>
      </c>
      <c r="E85" s="43">
        <v>411.87</v>
      </c>
      <c r="F85" s="170">
        <f t="shared" si="167"/>
        <v>549.16</v>
      </c>
      <c r="G85" s="83"/>
      <c r="H85" s="18">
        <f>137.29+137.29+137.29+137.29</f>
        <v>549.16</v>
      </c>
      <c r="I85" s="18">
        <v>549.16</v>
      </c>
      <c r="J85" s="19">
        <f t="shared" si="222"/>
        <v>549.16</v>
      </c>
      <c r="K85" s="17"/>
      <c r="L85" s="18">
        <f>137.29+137.29+137.29</f>
        <v>411.87</v>
      </c>
      <c r="M85" s="18">
        <v>549.16</v>
      </c>
      <c r="N85" s="19">
        <f t="shared" si="197"/>
        <v>411.87</v>
      </c>
      <c r="O85" s="17">
        <f t="shared" si="218"/>
        <v>0</v>
      </c>
      <c r="P85" s="43">
        <f t="shared" si="210"/>
        <v>1510.19</v>
      </c>
      <c r="Q85" s="43">
        <f t="shared" si="210"/>
        <v>1510.19</v>
      </c>
      <c r="R85" s="19">
        <f t="shared" si="172"/>
        <v>1510.19</v>
      </c>
      <c r="S85" s="17"/>
      <c r="T85" s="18"/>
      <c r="U85" s="43"/>
      <c r="V85" s="19"/>
      <c r="W85" s="17"/>
      <c r="X85" s="18">
        <v>357.29</v>
      </c>
      <c r="Y85" s="19">
        <v>357.29</v>
      </c>
      <c r="Z85" s="18">
        <f t="shared" si="199"/>
        <v>357.29</v>
      </c>
      <c r="AA85" s="83"/>
      <c r="AB85" s="18">
        <f>220+220</f>
        <v>440</v>
      </c>
      <c r="AC85" s="18">
        <v>440</v>
      </c>
      <c r="AD85" s="19">
        <f t="shared" si="175"/>
        <v>440</v>
      </c>
      <c r="AE85" s="17">
        <f t="shared" si="211"/>
        <v>0</v>
      </c>
      <c r="AF85" s="18">
        <f t="shared" si="211"/>
        <v>797.29</v>
      </c>
      <c r="AG85" s="18">
        <f t="shared" si="211"/>
        <v>797.29</v>
      </c>
      <c r="AH85" s="19">
        <f t="shared" si="212"/>
        <v>797.29</v>
      </c>
      <c r="AI85" s="17">
        <f t="shared" si="219"/>
        <v>0</v>
      </c>
      <c r="AJ85" s="18">
        <f t="shared" si="219"/>
        <v>2307.48</v>
      </c>
      <c r="AK85" s="18">
        <f t="shared" si="219"/>
        <v>2307.48</v>
      </c>
      <c r="AL85" s="19">
        <f t="shared" si="179"/>
        <v>2307.48</v>
      </c>
      <c r="AM85" s="17"/>
      <c r="AN85" s="18">
        <f>220+220</f>
        <v>440</v>
      </c>
      <c r="AO85" s="18">
        <v>440</v>
      </c>
      <c r="AP85" s="20"/>
      <c r="AQ85" s="17"/>
      <c r="AR85" s="18">
        <f>220+220</f>
        <v>440</v>
      </c>
      <c r="AS85" s="43">
        <v>440</v>
      </c>
      <c r="AT85" s="20">
        <f t="shared" si="201"/>
        <v>440</v>
      </c>
      <c r="AU85" s="17"/>
      <c r="AV85" s="18">
        <f>220+220+220</f>
        <v>660</v>
      </c>
      <c r="AW85" s="43">
        <v>660</v>
      </c>
      <c r="AX85" s="20">
        <f t="shared" si="202"/>
        <v>660</v>
      </c>
      <c r="AY85" s="17">
        <f t="shared" si="213"/>
        <v>0</v>
      </c>
      <c r="AZ85" s="18">
        <f t="shared" si="213"/>
        <v>1540</v>
      </c>
      <c r="BA85" s="18">
        <f t="shared" si="213"/>
        <v>1540</v>
      </c>
      <c r="BB85" s="19"/>
      <c r="BC85" s="190">
        <f t="shared" si="214"/>
        <v>0</v>
      </c>
      <c r="BD85" s="84">
        <f t="shared" si="214"/>
        <v>3847.48</v>
      </c>
      <c r="BE85" s="84">
        <f t="shared" si="214"/>
        <v>3847.48</v>
      </c>
      <c r="BF85" s="170">
        <f t="shared" si="186"/>
        <v>3847.48</v>
      </c>
      <c r="BG85" s="83"/>
      <c r="BH85" s="18"/>
      <c r="BI85" s="43"/>
      <c r="BJ85" s="41">
        <f t="shared" si="203"/>
        <v>0</v>
      </c>
      <c r="BK85" s="44"/>
      <c r="BL85" s="43">
        <f>220+220</f>
        <v>440</v>
      </c>
      <c r="BM85" s="43">
        <v>440</v>
      </c>
      <c r="BN85" s="41">
        <f t="shared" si="204"/>
        <v>440</v>
      </c>
      <c r="BO85" s="44"/>
      <c r="BP85" s="43">
        <f>880</f>
        <v>880</v>
      </c>
      <c r="BQ85" s="43">
        <v>880</v>
      </c>
      <c r="BR85" s="41">
        <f t="shared" si="189"/>
        <v>880</v>
      </c>
      <c r="BS85" s="17">
        <f t="shared" si="215"/>
        <v>0</v>
      </c>
      <c r="BT85" s="18">
        <f t="shared" si="215"/>
        <v>1320</v>
      </c>
      <c r="BU85" s="18">
        <f t="shared" si="215"/>
        <v>1320</v>
      </c>
      <c r="BV85" s="20">
        <f t="shared" si="205"/>
        <v>1320</v>
      </c>
      <c r="BW85" s="17">
        <f t="shared" si="216"/>
        <v>0</v>
      </c>
      <c r="BX85" s="18">
        <f t="shared" si="216"/>
        <v>2860</v>
      </c>
      <c r="BY85" s="18">
        <f t="shared" si="216"/>
        <v>2860</v>
      </c>
      <c r="BZ85" s="20">
        <f t="shared" si="206"/>
        <v>2860</v>
      </c>
      <c r="CA85" s="128">
        <f t="shared" si="220"/>
        <v>0</v>
      </c>
      <c r="CB85" s="18">
        <f t="shared" si="220"/>
        <v>5167.4799999999996</v>
      </c>
      <c r="CC85" s="18">
        <f t="shared" si="220"/>
        <v>5167.4799999999996</v>
      </c>
      <c r="CD85" s="20">
        <f t="shared" si="209"/>
        <v>5167.4799999999996</v>
      </c>
      <c r="CE85" s="94"/>
      <c r="CF85" s="94"/>
      <c r="CG85" s="94"/>
      <c r="CH85" s="3"/>
      <c r="CI85" s="94"/>
      <c r="CJ85" s="91">
        <f t="shared" si="221"/>
        <v>0</v>
      </c>
      <c r="CK85" s="91">
        <f t="shared" si="221"/>
        <v>1320</v>
      </c>
      <c r="CL85" s="91">
        <f t="shared" si="221"/>
        <v>1320</v>
      </c>
      <c r="CM85" s="91">
        <f t="shared" si="221"/>
        <v>1320</v>
      </c>
      <c r="CN85" s="91">
        <f t="shared" si="166"/>
        <v>0</v>
      </c>
      <c r="CO85" s="91">
        <f t="shared" si="166"/>
        <v>5167.4799999999996</v>
      </c>
      <c r="CP85" s="91">
        <f t="shared" si="166"/>
        <v>5167.4799999999996</v>
      </c>
      <c r="CQ85" s="91">
        <f t="shared" si="166"/>
        <v>3627.48</v>
      </c>
    </row>
    <row r="86" spans="1:95" ht="16.5" collapsed="1" x14ac:dyDescent="0.3">
      <c r="A86" s="42">
        <v>8.1999999999999993</v>
      </c>
      <c r="B86" s="134" t="s">
        <v>178</v>
      </c>
      <c r="C86" s="174">
        <v>10000</v>
      </c>
      <c r="D86" s="18"/>
      <c r="E86" s="43"/>
      <c r="F86" s="170">
        <f t="shared" si="167"/>
        <v>-10000</v>
      </c>
      <c r="G86" s="83">
        <v>10000</v>
      </c>
      <c r="H86" s="18">
        <v>1000</v>
      </c>
      <c r="I86" s="18"/>
      <c r="J86" s="19">
        <f t="shared" si="222"/>
        <v>-9000</v>
      </c>
      <c r="K86" s="17">
        <v>10000</v>
      </c>
      <c r="L86" s="18"/>
      <c r="M86" s="18"/>
      <c r="N86" s="19">
        <f t="shared" si="197"/>
        <v>-10000</v>
      </c>
      <c r="O86" s="17">
        <f t="shared" si="218"/>
        <v>30000</v>
      </c>
      <c r="P86" s="43">
        <f t="shared" si="210"/>
        <v>1000</v>
      </c>
      <c r="Q86" s="43">
        <f t="shared" si="210"/>
        <v>0</v>
      </c>
      <c r="R86" s="19">
        <f t="shared" si="172"/>
        <v>-29000</v>
      </c>
      <c r="S86" s="17">
        <v>10000</v>
      </c>
      <c r="T86" s="18"/>
      <c r="U86" s="43">
        <f>100000-100000</f>
        <v>0</v>
      </c>
      <c r="V86" s="19">
        <f>T86-S86</f>
        <v>-10000</v>
      </c>
      <c r="W86" s="17">
        <v>10000</v>
      </c>
      <c r="X86" s="18"/>
      <c r="Y86" s="19"/>
      <c r="Z86" s="18">
        <f t="shared" si="199"/>
        <v>-10000</v>
      </c>
      <c r="AA86" s="83">
        <v>10000</v>
      </c>
      <c r="AB86" s="18"/>
      <c r="AC86" s="43"/>
      <c r="AD86" s="19">
        <f t="shared" si="175"/>
        <v>-10000</v>
      </c>
      <c r="AE86" s="17">
        <f t="shared" si="211"/>
        <v>30000</v>
      </c>
      <c r="AF86" s="18">
        <f t="shared" si="211"/>
        <v>0</v>
      </c>
      <c r="AG86" s="18">
        <f t="shared" si="211"/>
        <v>0</v>
      </c>
      <c r="AH86" s="19">
        <f t="shared" si="212"/>
        <v>-30000</v>
      </c>
      <c r="AI86" s="17">
        <f t="shared" si="219"/>
        <v>60000</v>
      </c>
      <c r="AJ86" s="18">
        <f t="shared" si="219"/>
        <v>1000</v>
      </c>
      <c r="AK86" s="18">
        <f t="shared" si="219"/>
        <v>0</v>
      </c>
      <c r="AL86" s="19">
        <f t="shared" si="179"/>
        <v>-59000</v>
      </c>
      <c r="AM86" s="17">
        <v>10000</v>
      </c>
      <c r="AN86" s="18"/>
      <c r="AO86" s="18"/>
      <c r="AP86" s="20">
        <f>AN86-AM86</f>
        <v>-10000</v>
      </c>
      <c r="AQ86" s="17">
        <v>10000</v>
      </c>
      <c r="AR86" s="18"/>
      <c r="AS86" s="43"/>
      <c r="AT86" s="20">
        <f t="shared" si="201"/>
        <v>-10000</v>
      </c>
      <c r="AU86" s="17">
        <v>10000</v>
      </c>
      <c r="AV86" s="18"/>
      <c r="AW86" s="43"/>
      <c r="AX86" s="20">
        <f t="shared" si="202"/>
        <v>-10000</v>
      </c>
      <c r="AY86" s="17">
        <f t="shared" si="213"/>
        <v>30000</v>
      </c>
      <c r="AZ86" s="18">
        <f t="shared" si="213"/>
        <v>0</v>
      </c>
      <c r="BA86" s="18">
        <f t="shared" si="213"/>
        <v>0</v>
      </c>
      <c r="BB86" s="19">
        <f>AZ86-AY86</f>
        <v>-30000</v>
      </c>
      <c r="BC86" s="194">
        <f t="shared" si="214"/>
        <v>90000</v>
      </c>
      <c r="BD86" s="124">
        <f t="shared" si="214"/>
        <v>1000</v>
      </c>
      <c r="BE86" s="124">
        <f t="shared" si="214"/>
        <v>0</v>
      </c>
      <c r="BF86" s="170">
        <f t="shared" si="186"/>
        <v>-89000</v>
      </c>
      <c r="BG86" s="83">
        <v>10000</v>
      </c>
      <c r="BH86" s="18">
        <v>89100</v>
      </c>
      <c r="BI86" s="43">
        <v>89100</v>
      </c>
      <c r="BJ86" s="41">
        <f t="shared" si="203"/>
        <v>79100</v>
      </c>
      <c r="BK86" s="44">
        <v>10000</v>
      </c>
      <c r="BL86" s="43">
        <f>15000+277</f>
        <v>15277</v>
      </c>
      <c r="BM86" s="43">
        <f>15000+277</f>
        <v>15277</v>
      </c>
      <c r="BN86" s="41">
        <f t="shared" si="204"/>
        <v>5277</v>
      </c>
      <c r="BO86" s="44">
        <v>10000</v>
      </c>
      <c r="BP86" s="43">
        <v>3500</v>
      </c>
      <c r="BQ86" s="43">
        <f>3500+4433250-4433250</f>
        <v>3500</v>
      </c>
      <c r="BR86" s="41">
        <f t="shared" si="189"/>
        <v>-6500</v>
      </c>
      <c r="BS86" s="17">
        <f t="shared" si="215"/>
        <v>30000</v>
      </c>
      <c r="BT86" s="18">
        <f t="shared" si="215"/>
        <v>107877</v>
      </c>
      <c r="BU86" s="18">
        <f t="shared" si="215"/>
        <v>107877</v>
      </c>
      <c r="BV86" s="20">
        <f t="shared" si="205"/>
        <v>77877</v>
      </c>
      <c r="BW86" s="17">
        <f t="shared" si="216"/>
        <v>60000</v>
      </c>
      <c r="BX86" s="18">
        <f t="shared" si="216"/>
        <v>107877</v>
      </c>
      <c r="BY86" s="18">
        <f t="shared" si="216"/>
        <v>107877</v>
      </c>
      <c r="BZ86" s="20">
        <f t="shared" si="206"/>
        <v>47877</v>
      </c>
      <c r="CA86" s="44">
        <f t="shared" si="220"/>
        <v>120000</v>
      </c>
      <c r="CB86" s="18">
        <f t="shared" si="220"/>
        <v>108877</v>
      </c>
      <c r="CC86" s="18">
        <f t="shared" si="220"/>
        <v>107877</v>
      </c>
      <c r="CD86" s="20">
        <f t="shared" si="209"/>
        <v>-11123</v>
      </c>
      <c r="CE86" s="94"/>
      <c r="CF86" s="94"/>
      <c r="CG86" s="94"/>
      <c r="CH86" s="3"/>
      <c r="CI86" s="94"/>
      <c r="CJ86" s="91">
        <f t="shared" si="221"/>
        <v>30000</v>
      </c>
      <c r="CK86" s="91">
        <f t="shared" si="221"/>
        <v>107877</v>
      </c>
      <c r="CL86" s="91">
        <f t="shared" si="221"/>
        <v>107877</v>
      </c>
      <c r="CM86" s="91">
        <f t="shared" si="221"/>
        <v>77877</v>
      </c>
      <c r="CN86" s="91">
        <f t="shared" si="166"/>
        <v>120000</v>
      </c>
      <c r="CO86" s="91">
        <f t="shared" si="166"/>
        <v>108877</v>
      </c>
      <c r="CP86" s="91">
        <f t="shared" si="166"/>
        <v>107877</v>
      </c>
      <c r="CQ86" s="91">
        <f t="shared" si="166"/>
        <v>-11123</v>
      </c>
    </row>
    <row r="87" spans="1:95" ht="16.5" x14ac:dyDescent="0.3">
      <c r="A87" s="42">
        <v>8.3000000000000007</v>
      </c>
      <c r="B87" s="38" t="s">
        <v>89</v>
      </c>
      <c r="C87" s="168"/>
      <c r="D87" s="18"/>
      <c r="E87" s="95"/>
      <c r="F87" s="170">
        <f t="shared" si="167"/>
        <v>0</v>
      </c>
      <c r="G87" s="89"/>
      <c r="H87" s="31"/>
      <c r="I87" s="31"/>
      <c r="J87" s="19">
        <f t="shared" si="222"/>
        <v>0</v>
      </c>
      <c r="K87" s="25"/>
      <c r="L87" s="31"/>
      <c r="M87" s="95"/>
      <c r="N87" s="19">
        <f t="shared" si="197"/>
        <v>0</v>
      </c>
      <c r="O87" s="17">
        <f t="shared" si="218"/>
        <v>0</v>
      </c>
      <c r="P87" s="43">
        <f t="shared" si="210"/>
        <v>0</v>
      </c>
      <c r="Q87" s="43">
        <f t="shared" si="210"/>
        <v>0</v>
      </c>
      <c r="R87" s="19">
        <f t="shared" si="172"/>
        <v>0</v>
      </c>
      <c r="S87" s="25"/>
      <c r="T87" s="31"/>
      <c r="U87" s="43"/>
      <c r="V87" s="19"/>
      <c r="W87" s="25"/>
      <c r="X87" s="31"/>
      <c r="Y87" s="30"/>
      <c r="Z87" s="18"/>
      <c r="AA87" s="89"/>
      <c r="AB87" s="31"/>
      <c r="AC87" s="95"/>
      <c r="AD87" s="19"/>
      <c r="AE87" s="17">
        <f t="shared" si="211"/>
        <v>0</v>
      </c>
      <c r="AF87" s="18">
        <f t="shared" si="211"/>
        <v>0</v>
      </c>
      <c r="AG87" s="18">
        <f t="shared" si="211"/>
        <v>0</v>
      </c>
      <c r="AH87" s="19">
        <f t="shared" si="212"/>
        <v>0</v>
      </c>
      <c r="AI87" s="17">
        <f t="shared" si="219"/>
        <v>0</v>
      </c>
      <c r="AJ87" s="18">
        <f t="shared" si="219"/>
        <v>0</v>
      </c>
      <c r="AK87" s="18">
        <f t="shared" si="219"/>
        <v>0</v>
      </c>
      <c r="AL87" s="19">
        <f t="shared" si="179"/>
        <v>0</v>
      </c>
      <c r="AM87" s="25"/>
      <c r="AN87" s="31"/>
      <c r="AO87" s="31"/>
      <c r="AP87" s="20"/>
      <c r="AQ87" s="25"/>
      <c r="AR87" s="31"/>
      <c r="AS87" s="95"/>
      <c r="AT87" s="20">
        <f t="shared" si="201"/>
        <v>0</v>
      </c>
      <c r="AU87" s="25">
        <v>3000</v>
      </c>
      <c r="AV87" s="31"/>
      <c r="AW87" s="95"/>
      <c r="AX87" s="20">
        <f t="shared" si="202"/>
        <v>-3000</v>
      </c>
      <c r="AY87" s="17">
        <f t="shared" si="213"/>
        <v>3000</v>
      </c>
      <c r="AZ87" s="18">
        <f t="shared" si="213"/>
        <v>0</v>
      </c>
      <c r="BA87" s="18">
        <f t="shared" si="213"/>
        <v>0</v>
      </c>
      <c r="BB87" s="19">
        <f>AZ87-AY87</f>
        <v>-3000</v>
      </c>
      <c r="BC87" s="194">
        <f t="shared" si="214"/>
        <v>3000</v>
      </c>
      <c r="BD87" s="124">
        <f t="shared" si="214"/>
        <v>0</v>
      </c>
      <c r="BE87" s="124">
        <f t="shared" si="214"/>
        <v>0</v>
      </c>
      <c r="BF87" s="170">
        <f t="shared" si="186"/>
        <v>-3000</v>
      </c>
      <c r="BG87" s="89"/>
      <c r="BH87" s="31"/>
      <c r="BI87" s="95"/>
      <c r="BJ87" s="27"/>
      <c r="BK87" s="90"/>
      <c r="BL87" s="95"/>
      <c r="BM87" s="95"/>
      <c r="BN87" s="27"/>
      <c r="BO87" s="90">
        <v>3000</v>
      </c>
      <c r="BP87" s="43"/>
      <c r="BQ87" s="43"/>
      <c r="BR87" s="41"/>
      <c r="BS87" s="17">
        <f t="shared" si="215"/>
        <v>3000</v>
      </c>
      <c r="BT87" s="18">
        <f t="shared" si="215"/>
        <v>0</v>
      </c>
      <c r="BU87" s="18">
        <f t="shared" si="215"/>
        <v>0</v>
      </c>
      <c r="BV87" s="20">
        <f t="shared" si="205"/>
        <v>-3000</v>
      </c>
      <c r="BW87" s="17">
        <f t="shared" si="216"/>
        <v>6000</v>
      </c>
      <c r="BX87" s="18">
        <f t="shared" si="216"/>
        <v>0</v>
      </c>
      <c r="BY87" s="18">
        <f t="shared" si="216"/>
        <v>0</v>
      </c>
      <c r="BZ87" s="20">
        <f t="shared" si="206"/>
        <v>-6000</v>
      </c>
      <c r="CA87" s="44">
        <f t="shared" si="220"/>
        <v>6000</v>
      </c>
      <c r="CB87" s="18">
        <f t="shared" si="220"/>
        <v>0</v>
      </c>
      <c r="CC87" s="18">
        <f t="shared" si="220"/>
        <v>0</v>
      </c>
      <c r="CD87" s="20">
        <f t="shared" si="209"/>
        <v>-6000</v>
      </c>
      <c r="CE87" s="94"/>
      <c r="CF87" s="94"/>
      <c r="CG87" s="94"/>
      <c r="CH87" s="3"/>
      <c r="CI87" s="94"/>
      <c r="CJ87" s="91">
        <f t="shared" si="221"/>
        <v>3000</v>
      </c>
      <c r="CK87" s="91">
        <f t="shared" si="221"/>
        <v>0</v>
      </c>
      <c r="CL87" s="91">
        <f t="shared" si="221"/>
        <v>0</v>
      </c>
      <c r="CM87" s="91">
        <f t="shared" si="221"/>
        <v>0</v>
      </c>
      <c r="CN87" s="91">
        <f t="shared" si="166"/>
        <v>6000</v>
      </c>
      <c r="CO87" s="91">
        <f t="shared" si="166"/>
        <v>0</v>
      </c>
      <c r="CP87" s="91">
        <f t="shared" si="166"/>
        <v>0</v>
      </c>
      <c r="CQ87" s="91">
        <f t="shared" si="166"/>
        <v>-3000</v>
      </c>
    </row>
    <row r="88" spans="1:95" ht="16.5" hidden="1" x14ac:dyDescent="0.3">
      <c r="A88" s="9"/>
      <c r="B88" s="38" t="s">
        <v>90</v>
      </c>
      <c r="C88" s="168"/>
      <c r="D88" s="31"/>
      <c r="E88" s="95"/>
      <c r="F88" s="170">
        <f t="shared" si="167"/>
        <v>0</v>
      </c>
      <c r="G88" s="89"/>
      <c r="H88" s="31"/>
      <c r="I88" s="31"/>
      <c r="J88" s="19">
        <f t="shared" si="222"/>
        <v>0</v>
      </c>
      <c r="K88" s="25"/>
      <c r="L88" s="31"/>
      <c r="M88" s="95"/>
      <c r="N88" s="19">
        <f t="shared" si="197"/>
        <v>0</v>
      </c>
      <c r="O88" s="17">
        <f t="shared" si="218"/>
        <v>0</v>
      </c>
      <c r="P88" s="43">
        <f t="shared" si="210"/>
        <v>0</v>
      </c>
      <c r="Q88" s="43">
        <f t="shared" si="210"/>
        <v>0</v>
      </c>
      <c r="R88" s="19">
        <f t="shared" si="172"/>
        <v>0</v>
      </c>
      <c r="S88" s="25"/>
      <c r="T88" s="31"/>
      <c r="U88" s="43"/>
      <c r="V88" s="19"/>
      <c r="W88" s="25"/>
      <c r="X88" s="31"/>
      <c r="Y88" s="30"/>
      <c r="Z88" s="18"/>
      <c r="AA88" s="89"/>
      <c r="AB88" s="31"/>
      <c r="AC88" s="95"/>
      <c r="AD88" s="19"/>
      <c r="AE88" s="17">
        <f t="shared" si="211"/>
        <v>0</v>
      </c>
      <c r="AF88" s="18">
        <f t="shared" si="211"/>
        <v>0</v>
      </c>
      <c r="AG88" s="18">
        <f t="shared" si="211"/>
        <v>0</v>
      </c>
      <c r="AH88" s="19">
        <f t="shared" si="212"/>
        <v>0</v>
      </c>
      <c r="AI88" s="17">
        <f t="shared" si="219"/>
        <v>0</v>
      </c>
      <c r="AJ88" s="18">
        <f t="shared" si="219"/>
        <v>0</v>
      </c>
      <c r="AK88" s="18">
        <f t="shared" si="219"/>
        <v>0</v>
      </c>
      <c r="AL88" s="19">
        <f t="shared" si="179"/>
        <v>0</v>
      </c>
      <c r="AM88" s="25"/>
      <c r="AN88" s="31"/>
      <c r="AO88" s="31"/>
      <c r="AP88" s="20"/>
      <c r="AQ88" s="25"/>
      <c r="AR88" s="31"/>
      <c r="AS88" s="95"/>
      <c r="AT88" s="20"/>
      <c r="AU88" s="25"/>
      <c r="AV88" s="31"/>
      <c r="AW88" s="95"/>
      <c r="AX88" s="20"/>
      <c r="AY88" s="17"/>
      <c r="AZ88" s="18"/>
      <c r="BA88" s="18"/>
      <c r="BB88" s="19"/>
      <c r="BC88" s="194"/>
      <c r="BD88" s="124"/>
      <c r="BE88" s="124"/>
      <c r="BF88" s="170"/>
      <c r="BG88" s="89"/>
      <c r="BH88" s="31"/>
      <c r="BI88" s="95"/>
      <c r="BJ88" s="27"/>
      <c r="BK88" s="90"/>
      <c r="BL88" s="95"/>
      <c r="BM88" s="95"/>
      <c r="BN88" s="27"/>
      <c r="BO88" s="90"/>
      <c r="BP88" s="95"/>
      <c r="BQ88" s="95"/>
      <c r="BR88" s="41"/>
      <c r="BS88" s="17"/>
      <c r="BT88" s="18">
        <f t="shared" si="215"/>
        <v>0</v>
      </c>
      <c r="BU88" s="18"/>
      <c r="BV88" s="20"/>
      <c r="BW88" s="17"/>
      <c r="BX88" s="18"/>
      <c r="BY88" s="18"/>
      <c r="BZ88" s="20"/>
      <c r="CA88" s="17"/>
      <c r="CB88" s="18"/>
      <c r="CC88" s="18">
        <f t="shared" si="220"/>
        <v>0</v>
      </c>
      <c r="CD88" s="20">
        <f t="shared" si="209"/>
        <v>0</v>
      </c>
      <c r="CE88" s="94"/>
      <c r="CF88" s="94"/>
      <c r="CG88" s="94"/>
      <c r="CH88" s="3"/>
      <c r="CI88" s="94"/>
      <c r="CJ88" s="91">
        <f t="shared" si="221"/>
        <v>0</v>
      </c>
      <c r="CK88" s="91">
        <f t="shared" si="221"/>
        <v>0</v>
      </c>
      <c r="CL88" s="91">
        <f t="shared" si="221"/>
        <v>0</v>
      </c>
      <c r="CM88" s="91">
        <f t="shared" si="221"/>
        <v>0</v>
      </c>
      <c r="CN88" s="91">
        <f t="shared" si="166"/>
        <v>0</v>
      </c>
      <c r="CO88" s="91">
        <f t="shared" si="166"/>
        <v>0</v>
      </c>
      <c r="CP88" s="91">
        <f t="shared" si="166"/>
        <v>0</v>
      </c>
      <c r="CQ88" s="91">
        <f t="shared" si="166"/>
        <v>0</v>
      </c>
    </row>
    <row r="89" spans="1:95" ht="25.5" customHeight="1" x14ac:dyDescent="0.3">
      <c r="A89" s="9">
        <v>9</v>
      </c>
      <c r="B89" s="33" t="s">
        <v>91</v>
      </c>
      <c r="C89" s="168"/>
      <c r="D89" s="31"/>
      <c r="E89" s="95"/>
      <c r="F89" s="170">
        <f t="shared" si="167"/>
        <v>0</v>
      </c>
      <c r="G89" s="89"/>
      <c r="H89" s="31"/>
      <c r="I89" s="31"/>
      <c r="J89" s="19">
        <f t="shared" si="222"/>
        <v>0</v>
      </c>
      <c r="K89" s="17">
        <v>3000</v>
      </c>
      <c r="L89" s="31"/>
      <c r="M89" s="95"/>
      <c r="N89" s="30">
        <f t="shared" si="197"/>
        <v>-3000</v>
      </c>
      <c r="O89" s="95">
        <f t="shared" ref="O89:O90" si="223">K89+G89+C89</f>
        <v>3000</v>
      </c>
      <c r="P89" s="95">
        <f t="shared" si="210"/>
        <v>0</v>
      </c>
      <c r="Q89" s="95">
        <f t="shared" si="210"/>
        <v>0</v>
      </c>
      <c r="R89" s="30">
        <f t="shared" si="172"/>
        <v>-3000</v>
      </c>
      <c r="S89" s="25"/>
      <c r="T89" s="31"/>
      <c r="U89" s="95"/>
      <c r="V89" s="19">
        <f>T89-S89</f>
        <v>0</v>
      </c>
      <c r="W89" s="25"/>
      <c r="X89" s="31"/>
      <c r="Y89" s="30"/>
      <c r="Z89" s="18">
        <f t="shared" ref="Z89:Z105" si="224">X89-W89</f>
        <v>0</v>
      </c>
      <c r="AA89" s="83">
        <v>3000</v>
      </c>
      <c r="AB89" s="31"/>
      <c r="AC89" s="95"/>
      <c r="AD89" s="19">
        <f t="shared" ref="AD89:AD105" si="225">AB89-AA89</f>
        <v>-3000</v>
      </c>
      <c r="AE89" s="17">
        <f t="shared" si="211"/>
        <v>3000</v>
      </c>
      <c r="AF89" s="18">
        <f t="shared" si="211"/>
        <v>0</v>
      </c>
      <c r="AG89" s="18">
        <f t="shared" si="211"/>
        <v>0</v>
      </c>
      <c r="AH89" s="19">
        <f t="shared" si="212"/>
        <v>-3000</v>
      </c>
      <c r="AI89" s="17">
        <f t="shared" si="219"/>
        <v>6000</v>
      </c>
      <c r="AJ89" s="18">
        <f t="shared" si="219"/>
        <v>0</v>
      </c>
      <c r="AK89" s="18">
        <f t="shared" si="219"/>
        <v>0</v>
      </c>
      <c r="AL89" s="19">
        <f t="shared" si="179"/>
        <v>-6000</v>
      </c>
      <c r="AM89" s="25"/>
      <c r="AN89" s="31"/>
      <c r="AO89" s="31"/>
      <c r="AP89" s="20">
        <f t="shared" ref="AP89:AP105" si="226">AN89-AM89</f>
        <v>0</v>
      </c>
      <c r="AQ89" s="25"/>
      <c r="AR89" s="31"/>
      <c r="AS89" s="95"/>
      <c r="AT89" s="20">
        <f t="shared" ref="AT89:AT105" si="227">AR89-AQ89</f>
        <v>0</v>
      </c>
      <c r="AU89" s="17"/>
      <c r="AV89" s="18"/>
      <c r="AW89" s="43"/>
      <c r="AX89" s="20">
        <f t="shared" ref="AX89:AX105" si="228">AV89-AU89</f>
        <v>0</v>
      </c>
      <c r="AY89" s="17">
        <f t="shared" ref="AY89:BA94" si="229">AM89+AQ89+AU89</f>
        <v>0</v>
      </c>
      <c r="AZ89" s="18">
        <f t="shared" si="229"/>
        <v>0</v>
      </c>
      <c r="BA89" s="18">
        <f t="shared" si="229"/>
        <v>0</v>
      </c>
      <c r="BB89" s="19">
        <f t="shared" ref="BB89:BB105" si="230">AZ89-AY89</f>
        <v>0</v>
      </c>
      <c r="BC89" s="194">
        <f t="shared" ref="BC89:BE101" si="231">(AI89+AY89)</f>
        <v>6000</v>
      </c>
      <c r="BD89" s="124">
        <f t="shared" si="231"/>
        <v>0</v>
      </c>
      <c r="BE89" s="124">
        <f t="shared" si="231"/>
        <v>0</v>
      </c>
      <c r="BF89" s="170">
        <f t="shared" ref="BF89:BF105" si="232">BD89-BC89</f>
        <v>-6000</v>
      </c>
      <c r="BG89" s="83"/>
      <c r="BH89" s="18"/>
      <c r="BI89" s="43"/>
      <c r="BJ89" s="41">
        <f t="shared" ref="BJ89:BJ105" si="233">BH89-BG89</f>
        <v>0</v>
      </c>
      <c r="BK89" s="44"/>
      <c r="BL89" s="43"/>
      <c r="BM89" s="43"/>
      <c r="BN89" s="41">
        <f t="shared" ref="BN89:BN105" si="234">BL89-BK89</f>
        <v>0</v>
      </c>
      <c r="BO89" s="44"/>
      <c r="BP89" s="43"/>
      <c r="BQ89" s="95"/>
      <c r="BR89" s="41">
        <f t="shared" ref="BR89:BR105" si="235">BP89-BO89</f>
        <v>0</v>
      </c>
      <c r="BS89" s="17">
        <f t="shared" ref="BS89:BU101" si="236">BG89+BK89+BO89</f>
        <v>0</v>
      </c>
      <c r="BT89" s="18">
        <f t="shared" si="215"/>
        <v>0</v>
      </c>
      <c r="BU89" s="18">
        <f t="shared" si="236"/>
        <v>0</v>
      </c>
      <c r="BV89" s="20">
        <f t="shared" ref="BV89:BV105" si="237">BT89-BS89</f>
        <v>0</v>
      </c>
      <c r="BW89" s="17">
        <f t="shared" ref="BW89:BY101" si="238">BS89+AY89</f>
        <v>0</v>
      </c>
      <c r="BX89" s="18">
        <f t="shared" si="238"/>
        <v>0</v>
      </c>
      <c r="BY89" s="18">
        <f t="shared" si="238"/>
        <v>0</v>
      </c>
      <c r="BZ89" s="20">
        <f t="shared" ref="BZ89:BZ131" si="239">BX89-BW89</f>
        <v>0</v>
      </c>
      <c r="CA89" s="17">
        <f t="shared" ref="CA89:CC94" si="240">BW89+AI89</f>
        <v>6000</v>
      </c>
      <c r="CB89" s="18">
        <f t="shared" si="240"/>
        <v>0</v>
      </c>
      <c r="CC89" s="18">
        <f t="shared" si="220"/>
        <v>0</v>
      </c>
      <c r="CD89" s="20">
        <f t="shared" si="209"/>
        <v>-6000</v>
      </c>
      <c r="CE89" s="94"/>
      <c r="CF89" s="94"/>
      <c r="CG89" s="94"/>
      <c r="CH89" s="3"/>
      <c r="CI89" s="94"/>
      <c r="CJ89" s="91">
        <f t="shared" si="221"/>
        <v>0</v>
      </c>
      <c r="CK89" s="91">
        <f t="shared" si="221"/>
        <v>0</v>
      </c>
      <c r="CL89" s="91">
        <f t="shared" si="221"/>
        <v>0</v>
      </c>
      <c r="CM89" s="91">
        <f t="shared" si="221"/>
        <v>0</v>
      </c>
      <c r="CN89" s="91">
        <f t="shared" si="166"/>
        <v>6000</v>
      </c>
      <c r="CO89" s="91">
        <f t="shared" si="166"/>
        <v>0</v>
      </c>
      <c r="CP89" s="91">
        <f t="shared" si="166"/>
        <v>0</v>
      </c>
      <c r="CQ89" s="91">
        <f t="shared" si="166"/>
        <v>-6000</v>
      </c>
    </row>
    <row r="90" spans="1:95" ht="25.5" customHeight="1" x14ac:dyDescent="0.3">
      <c r="A90" s="9">
        <v>10</v>
      </c>
      <c r="B90" s="29" t="s">
        <v>174</v>
      </c>
      <c r="C90" s="174"/>
      <c r="D90" s="31"/>
      <c r="E90" s="95"/>
      <c r="F90" s="170">
        <f t="shared" si="167"/>
        <v>0</v>
      </c>
      <c r="G90" s="143"/>
      <c r="H90" s="31"/>
      <c r="I90" s="31"/>
      <c r="J90" s="19">
        <f t="shared" si="222"/>
        <v>0</v>
      </c>
      <c r="K90" s="135"/>
      <c r="L90" s="31"/>
      <c r="M90" s="95"/>
      <c r="N90" s="30">
        <f t="shared" si="197"/>
        <v>0</v>
      </c>
      <c r="O90" s="95">
        <f t="shared" si="223"/>
        <v>0</v>
      </c>
      <c r="P90" s="95">
        <f t="shared" si="210"/>
        <v>0</v>
      </c>
      <c r="Q90" s="95">
        <f t="shared" si="210"/>
        <v>0</v>
      </c>
      <c r="R90" s="30">
        <f t="shared" si="172"/>
        <v>0</v>
      </c>
      <c r="S90" s="135"/>
      <c r="T90" s="31"/>
      <c r="U90" s="95"/>
      <c r="V90" s="19">
        <f>T90-S90</f>
        <v>0</v>
      </c>
      <c r="W90" s="17"/>
      <c r="X90" s="31"/>
      <c r="Y90" s="30"/>
      <c r="Z90" s="18">
        <f t="shared" si="224"/>
        <v>0</v>
      </c>
      <c r="AA90" s="83"/>
      <c r="AB90" s="31"/>
      <c r="AC90" s="95"/>
      <c r="AD90" s="30">
        <f t="shared" si="225"/>
        <v>0</v>
      </c>
      <c r="AE90" s="25">
        <f t="shared" si="211"/>
        <v>0</v>
      </c>
      <c r="AF90" s="31">
        <f t="shared" si="211"/>
        <v>0</v>
      </c>
      <c r="AG90" s="31">
        <f t="shared" si="211"/>
        <v>0</v>
      </c>
      <c r="AH90" s="30">
        <f t="shared" si="212"/>
        <v>0</v>
      </c>
      <c r="AI90" s="25">
        <f t="shared" si="219"/>
        <v>0</v>
      </c>
      <c r="AJ90" s="31">
        <f t="shared" si="219"/>
        <v>0</v>
      </c>
      <c r="AK90" s="31">
        <f t="shared" si="219"/>
        <v>0</v>
      </c>
      <c r="AL90" s="30">
        <f t="shared" si="179"/>
        <v>0</v>
      </c>
      <c r="AM90" s="70"/>
      <c r="AN90" s="31"/>
      <c r="AO90" s="31"/>
      <c r="AP90" s="32">
        <f t="shared" si="226"/>
        <v>0</v>
      </c>
      <c r="AQ90" s="70"/>
      <c r="AR90" s="31"/>
      <c r="AS90" s="95"/>
      <c r="AT90" s="32">
        <f t="shared" si="227"/>
        <v>0</v>
      </c>
      <c r="AU90" s="70"/>
      <c r="AV90" s="18"/>
      <c r="AW90" s="95"/>
      <c r="AX90" s="32">
        <f t="shared" si="228"/>
        <v>0</v>
      </c>
      <c r="AY90" s="25">
        <f t="shared" si="229"/>
        <v>0</v>
      </c>
      <c r="AZ90" s="31">
        <f t="shared" si="229"/>
        <v>0</v>
      </c>
      <c r="BA90" s="31">
        <f t="shared" si="229"/>
        <v>0</v>
      </c>
      <c r="BB90" s="30">
        <f t="shared" si="230"/>
        <v>0</v>
      </c>
      <c r="BC90" s="190">
        <f t="shared" si="231"/>
        <v>0</v>
      </c>
      <c r="BD90" s="84">
        <f t="shared" si="231"/>
        <v>0</v>
      </c>
      <c r="BE90" s="84">
        <f t="shared" si="231"/>
        <v>0</v>
      </c>
      <c r="BF90" s="170">
        <f t="shared" si="232"/>
        <v>0</v>
      </c>
      <c r="BG90" s="184"/>
      <c r="BH90" s="18">
        <v>667762.30000000005</v>
      </c>
      <c r="BI90" s="43">
        <v>667762.30000000005</v>
      </c>
      <c r="BJ90" s="27">
        <f t="shared" si="233"/>
        <v>667762.30000000005</v>
      </c>
      <c r="BK90" s="136"/>
      <c r="BL90" s="95">
        <v>223048.95999999999</v>
      </c>
      <c r="BM90" s="95">
        <v>223048.95999999999</v>
      </c>
      <c r="BN90" s="27">
        <f t="shared" si="234"/>
        <v>223048.95999999999</v>
      </c>
      <c r="BO90" s="136"/>
      <c r="BP90" s="95">
        <f>223065.84</f>
        <v>223065.84</v>
      </c>
      <c r="BQ90" s="95">
        <f>206114.8+16951.04</f>
        <v>223065.84</v>
      </c>
      <c r="BR90" s="41">
        <f t="shared" si="235"/>
        <v>223065.84</v>
      </c>
      <c r="BS90" s="17">
        <f t="shared" si="236"/>
        <v>0</v>
      </c>
      <c r="BT90" s="18">
        <f t="shared" si="236"/>
        <v>1113877.1000000001</v>
      </c>
      <c r="BU90" s="18">
        <f t="shared" si="236"/>
        <v>1113877.1000000001</v>
      </c>
      <c r="BV90" s="20">
        <f t="shared" si="237"/>
        <v>1113877.1000000001</v>
      </c>
      <c r="BW90" s="17">
        <f t="shared" si="238"/>
        <v>0</v>
      </c>
      <c r="BX90" s="18">
        <f t="shared" si="238"/>
        <v>1113877.1000000001</v>
      </c>
      <c r="BY90" s="18">
        <f t="shared" si="238"/>
        <v>1113877.1000000001</v>
      </c>
      <c r="BZ90" s="20">
        <f t="shared" si="239"/>
        <v>1113877.1000000001</v>
      </c>
      <c r="CA90" s="17">
        <f t="shared" si="240"/>
        <v>0</v>
      </c>
      <c r="CB90" s="18">
        <f t="shared" si="240"/>
        <v>1113877.1000000001</v>
      </c>
      <c r="CC90" s="18">
        <f t="shared" si="220"/>
        <v>1113877.1000000001</v>
      </c>
      <c r="CD90" s="20">
        <f t="shared" si="209"/>
        <v>1113877.1000000001</v>
      </c>
      <c r="CE90" s="94"/>
      <c r="CF90" s="94"/>
      <c r="CG90" s="94"/>
      <c r="CH90" s="3"/>
      <c r="CI90" s="94"/>
      <c r="CJ90" s="91">
        <f t="shared" si="221"/>
        <v>0</v>
      </c>
      <c r="CK90" s="91">
        <f t="shared" si="221"/>
        <v>1113877.1000000001</v>
      </c>
      <c r="CL90" s="91">
        <f t="shared" si="221"/>
        <v>1113877.1000000001</v>
      </c>
      <c r="CM90" s="91">
        <f t="shared" si="221"/>
        <v>1113877.1000000001</v>
      </c>
      <c r="CN90" s="91">
        <f t="shared" si="166"/>
        <v>0</v>
      </c>
      <c r="CO90" s="91">
        <f t="shared" si="166"/>
        <v>1113877.1000000001</v>
      </c>
      <c r="CP90" s="91">
        <f t="shared" si="166"/>
        <v>1113877.1000000001</v>
      </c>
      <c r="CQ90" s="91">
        <f t="shared" si="166"/>
        <v>1113877.1000000001</v>
      </c>
    </row>
    <row r="91" spans="1:95" ht="18" customHeight="1" x14ac:dyDescent="0.3">
      <c r="A91" s="9">
        <v>11</v>
      </c>
      <c r="B91" s="47" t="s">
        <v>179</v>
      </c>
      <c r="C91" s="168">
        <v>279591.21999999997</v>
      </c>
      <c r="D91" s="43">
        <f>E91</f>
        <v>257008.51</v>
      </c>
      <c r="E91" s="43">
        <f>E12</f>
        <v>257008.51</v>
      </c>
      <c r="F91" s="170">
        <f t="shared" si="167"/>
        <v>-22582.709999999963</v>
      </c>
      <c r="G91" s="89">
        <v>279591.21999999997</v>
      </c>
      <c r="H91" s="18">
        <f>I91</f>
        <v>259786.49</v>
      </c>
      <c r="I91" s="43">
        <f>I12</f>
        <v>259786.49</v>
      </c>
      <c r="J91" s="19">
        <f t="shared" si="222"/>
        <v>-19804.729999999981</v>
      </c>
      <c r="K91" s="25">
        <v>279591.21999999997</v>
      </c>
      <c r="L91" s="31">
        <f>M91</f>
        <v>259589</v>
      </c>
      <c r="M91" s="95">
        <f>M12</f>
        <v>259589</v>
      </c>
      <c r="N91" s="19">
        <f t="shared" si="197"/>
        <v>-20002.219999999972</v>
      </c>
      <c r="O91" s="17">
        <f t="shared" si="218"/>
        <v>838773.65999999992</v>
      </c>
      <c r="P91" s="17">
        <f t="shared" si="218"/>
        <v>776384</v>
      </c>
      <c r="Q91" s="17">
        <f t="shared" si="218"/>
        <v>776384</v>
      </c>
      <c r="R91" s="19">
        <f t="shared" si="172"/>
        <v>-62389.659999999916</v>
      </c>
      <c r="S91" s="17">
        <v>279591.21999999997</v>
      </c>
      <c r="T91" s="18">
        <f>U91</f>
        <v>266095.15999999997</v>
      </c>
      <c r="U91" s="95">
        <f>U12</f>
        <v>266095.15999999997</v>
      </c>
      <c r="V91" s="19">
        <f>T91-S91</f>
        <v>-13496.059999999998</v>
      </c>
      <c r="W91" s="17">
        <v>279591.21999999997</v>
      </c>
      <c r="X91" s="18">
        <f>Y91</f>
        <v>254244.56</v>
      </c>
      <c r="Y91" s="37">
        <f>Y12</f>
        <v>254244.56</v>
      </c>
      <c r="Z91" s="18">
        <f t="shared" si="224"/>
        <v>-25346.659999999974</v>
      </c>
      <c r="AA91" s="83">
        <v>279591.21999999997</v>
      </c>
      <c r="AB91" s="18">
        <f>AC91</f>
        <v>269313.87</v>
      </c>
      <c r="AC91" s="43">
        <f>AC12</f>
        <v>269313.87</v>
      </c>
      <c r="AD91" s="30">
        <f t="shared" si="225"/>
        <v>-10277.349999999977</v>
      </c>
      <c r="AE91" s="17">
        <f t="shared" si="211"/>
        <v>838773.65999999992</v>
      </c>
      <c r="AF91" s="17">
        <f t="shared" si="211"/>
        <v>789653.59</v>
      </c>
      <c r="AG91" s="17">
        <f t="shared" si="211"/>
        <v>789653.59</v>
      </c>
      <c r="AH91" s="19">
        <f t="shared" si="212"/>
        <v>-49120.069999999949</v>
      </c>
      <c r="AI91" s="25">
        <f t="shared" si="219"/>
        <v>1677547.3199999998</v>
      </c>
      <c r="AJ91" s="25">
        <f t="shared" si="219"/>
        <v>1566037.5899999999</v>
      </c>
      <c r="AK91" s="25">
        <f t="shared" si="219"/>
        <v>1566037.5899999999</v>
      </c>
      <c r="AL91" s="30">
        <f t="shared" si="179"/>
        <v>-111509.72999999998</v>
      </c>
      <c r="AM91" s="25">
        <v>293995.62</v>
      </c>
      <c r="AN91" s="31">
        <f>AO91</f>
        <v>274733.98</v>
      </c>
      <c r="AO91" s="31">
        <f>AO12</f>
        <v>274733.98</v>
      </c>
      <c r="AP91" s="32">
        <f t="shared" si="226"/>
        <v>-19261.640000000014</v>
      </c>
      <c r="AQ91" s="25">
        <v>293995.62</v>
      </c>
      <c r="AR91" s="31">
        <f>AS91</f>
        <v>274600.76</v>
      </c>
      <c r="AS91" s="95">
        <f>AS12</f>
        <v>274600.76</v>
      </c>
      <c r="AT91" s="32">
        <f t="shared" si="227"/>
        <v>-19394.859999999986</v>
      </c>
      <c r="AU91" s="25">
        <v>293995.62</v>
      </c>
      <c r="AV91" s="31">
        <f>AW91</f>
        <v>279363.90999999997</v>
      </c>
      <c r="AW91" s="95">
        <f>AW12</f>
        <v>279363.90999999997</v>
      </c>
      <c r="AX91" s="32">
        <f t="shared" si="228"/>
        <v>-14631.710000000021</v>
      </c>
      <c r="AY91" s="25">
        <f t="shared" si="229"/>
        <v>881986.86</v>
      </c>
      <c r="AZ91" s="31">
        <f t="shared" si="229"/>
        <v>828698.64999999991</v>
      </c>
      <c r="BA91" s="31">
        <f t="shared" si="229"/>
        <v>828698.64999999991</v>
      </c>
      <c r="BB91" s="30">
        <f t="shared" si="230"/>
        <v>-53288.210000000079</v>
      </c>
      <c r="BC91" s="191">
        <f t="shared" si="231"/>
        <v>2559534.1799999997</v>
      </c>
      <c r="BD91" s="96">
        <f t="shared" si="231"/>
        <v>2394736.2399999998</v>
      </c>
      <c r="BE91" s="96">
        <f t="shared" si="231"/>
        <v>2394736.2399999998</v>
      </c>
      <c r="BF91" s="178">
        <f t="shared" si="232"/>
        <v>-164797.93999999994</v>
      </c>
      <c r="BG91" s="25">
        <v>293995.62</v>
      </c>
      <c r="BH91" s="31">
        <f>BI91</f>
        <v>274314.14</v>
      </c>
      <c r="BI91" s="95">
        <f>BI12</f>
        <v>274314.14</v>
      </c>
      <c r="BJ91" s="27">
        <f t="shared" si="233"/>
        <v>-19681.479999999981</v>
      </c>
      <c r="BK91" s="25">
        <v>293995.62</v>
      </c>
      <c r="BL91" s="95">
        <f>BM91</f>
        <v>268474.70999999996</v>
      </c>
      <c r="BM91" s="95">
        <f>BM12</f>
        <v>268474.70999999996</v>
      </c>
      <c r="BN91" s="27">
        <f t="shared" si="234"/>
        <v>-25520.910000000033</v>
      </c>
      <c r="BO91" s="25">
        <v>293995.62</v>
      </c>
      <c r="BP91" s="95">
        <f>BQ91</f>
        <v>289038.5</v>
      </c>
      <c r="BQ91" s="95">
        <f>BQ12</f>
        <v>289038.5</v>
      </c>
      <c r="BR91" s="41">
        <f t="shared" si="235"/>
        <v>-4957.1199999999953</v>
      </c>
      <c r="BS91" s="17">
        <f t="shared" si="236"/>
        <v>881986.86</v>
      </c>
      <c r="BT91" s="18">
        <f t="shared" si="236"/>
        <v>831827.35</v>
      </c>
      <c r="BU91" s="18">
        <f t="shared" si="236"/>
        <v>831827.35</v>
      </c>
      <c r="BV91" s="20">
        <f t="shared" si="237"/>
        <v>-50159.510000000009</v>
      </c>
      <c r="BW91" s="17">
        <f t="shared" si="238"/>
        <v>1763973.72</v>
      </c>
      <c r="BX91" s="18">
        <f t="shared" si="238"/>
        <v>1660526</v>
      </c>
      <c r="BY91" s="18">
        <f t="shared" si="238"/>
        <v>1660526</v>
      </c>
      <c r="BZ91" s="20">
        <f t="shared" si="239"/>
        <v>-103447.71999999997</v>
      </c>
      <c r="CA91" s="17">
        <f t="shared" si="240"/>
        <v>3441521.04</v>
      </c>
      <c r="CB91" s="18">
        <f t="shared" si="240"/>
        <v>3226563.59</v>
      </c>
      <c r="CC91" s="18">
        <f t="shared" si="220"/>
        <v>3226563.59</v>
      </c>
      <c r="CD91" s="20">
        <f t="shared" si="209"/>
        <v>-214957.45000000019</v>
      </c>
      <c r="CE91" s="94"/>
      <c r="CF91" s="94"/>
      <c r="CG91" s="94"/>
      <c r="CH91" s="3"/>
      <c r="CI91" s="94"/>
      <c r="CJ91" s="91">
        <f t="shared" si="221"/>
        <v>881986.86</v>
      </c>
      <c r="CK91" s="91">
        <f t="shared" si="221"/>
        <v>831827.35</v>
      </c>
      <c r="CL91" s="91">
        <f t="shared" si="221"/>
        <v>831827.35</v>
      </c>
      <c r="CM91" s="91">
        <f t="shared" si="221"/>
        <v>-50159.510000000009</v>
      </c>
      <c r="CN91" s="91">
        <f t="shared" si="166"/>
        <v>3441521.0399999996</v>
      </c>
      <c r="CO91" s="91">
        <f t="shared" si="166"/>
        <v>3226563.59</v>
      </c>
      <c r="CP91" s="91">
        <f t="shared" si="166"/>
        <v>3226563.59</v>
      </c>
      <c r="CQ91" s="91">
        <f t="shared" si="166"/>
        <v>-214957.44999999995</v>
      </c>
    </row>
    <row r="92" spans="1:95" ht="18" customHeight="1" x14ac:dyDescent="0.3">
      <c r="A92" s="34">
        <v>12</v>
      </c>
      <c r="B92" s="47" t="s">
        <v>31</v>
      </c>
      <c r="C92" s="168"/>
      <c r="D92" s="43">
        <f t="shared" ref="D92:D94" si="241">E92</f>
        <v>11483.02</v>
      </c>
      <c r="E92" s="43">
        <f>E15</f>
        <v>11483.02</v>
      </c>
      <c r="F92" s="170"/>
      <c r="G92" s="89">
        <v>16882.09</v>
      </c>
      <c r="H92" s="18">
        <f t="shared" ref="H92:H94" si="242">I92</f>
        <v>1413.56</v>
      </c>
      <c r="I92" s="43">
        <f>I15</f>
        <v>1413.56</v>
      </c>
      <c r="J92" s="19"/>
      <c r="K92" s="89">
        <v>16882.09</v>
      </c>
      <c r="L92" s="31">
        <f t="shared" ref="L92:L94" si="243">M92</f>
        <v>13558.25</v>
      </c>
      <c r="M92" s="95">
        <f>M15</f>
        <v>13558.25</v>
      </c>
      <c r="N92" s="19">
        <f t="shared" si="197"/>
        <v>-3323.84</v>
      </c>
      <c r="O92" s="17">
        <f t="shared" si="218"/>
        <v>33764.18</v>
      </c>
      <c r="P92" s="17">
        <f t="shared" si="218"/>
        <v>26454.83</v>
      </c>
      <c r="Q92" s="17">
        <f t="shared" si="218"/>
        <v>26454.83</v>
      </c>
      <c r="R92" s="19">
        <f t="shared" si="172"/>
        <v>-7309.3499999999985</v>
      </c>
      <c r="S92" s="83">
        <v>16882.09</v>
      </c>
      <c r="T92" s="18">
        <f t="shared" ref="T92:T94" si="244">U92</f>
        <v>13894.06</v>
      </c>
      <c r="U92" s="95">
        <f>U15</f>
        <v>13894.06</v>
      </c>
      <c r="V92" s="19"/>
      <c r="W92" s="83">
        <v>16882.09</v>
      </c>
      <c r="X92" s="18">
        <f t="shared" ref="X92:X94" si="245">Y92</f>
        <v>14190.53</v>
      </c>
      <c r="Y92" s="37">
        <f>Y15</f>
        <v>14190.53</v>
      </c>
      <c r="Z92" s="18"/>
      <c r="AA92" s="83">
        <v>16882.09</v>
      </c>
      <c r="AB92" s="18">
        <f t="shared" ref="AB92:AB94" si="246">AC92</f>
        <v>14657.65</v>
      </c>
      <c r="AC92" s="43">
        <f>AC15</f>
        <v>14657.65</v>
      </c>
      <c r="AD92" s="30"/>
      <c r="AE92" s="17">
        <f t="shared" si="211"/>
        <v>50646.270000000004</v>
      </c>
      <c r="AF92" s="17">
        <f t="shared" si="211"/>
        <v>42742.239999999998</v>
      </c>
      <c r="AG92" s="17">
        <f t="shared" si="211"/>
        <v>42742.239999999998</v>
      </c>
      <c r="AH92" s="19"/>
      <c r="AI92" s="25">
        <f t="shared" si="219"/>
        <v>84410.450000000012</v>
      </c>
      <c r="AJ92" s="25">
        <f t="shared" si="219"/>
        <v>69197.070000000007</v>
      </c>
      <c r="AK92" s="25">
        <f t="shared" si="219"/>
        <v>69197.070000000007</v>
      </c>
      <c r="AL92" s="30">
        <f t="shared" si="179"/>
        <v>-15213.380000000005</v>
      </c>
      <c r="AM92" s="89">
        <v>16882.05</v>
      </c>
      <c r="AN92" s="31">
        <f t="shared" ref="AN92:AN94" si="247">AO92</f>
        <v>15104.19</v>
      </c>
      <c r="AO92" s="31">
        <f>AO15</f>
        <v>15104.19</v>
      </c>
      <c r="AP92" s="32">
        <f t="shared" si="226"/>
        <v>-1777.8599999999988</v>
      </c>
      <c r="AQ92" s="89">
        <v>16882.05</v>
      </c>
      <c r="AR92" s="31">
        <f t="shared" ref="AR92:AR94" si="248">AS92</f>
        <v>14894.92</v>
      </c>
      <c r="AS92" s="95">
        <f>AS15</f>
        <v>14894.92</v>
      </c>
      <c r="AT92" s="32">
        <f t="shared" si="227"/>
        <v>-1987.1299999999992</v>
      </c>
      <c r="AU92" s="89">
        <v>16882.05</v>
      </c>
      <c r="AV92" s="31">
        <f t="shared" ref="AV92:AV94" si="249">AW92</f>
        <v>15543.56</v>
      </c>
      <c r="AW92" s="95">
        <f>AW15</f>
        <v>15543.56</v>
      </c>
      <c r="AX92" s="32">
        <f t="shared" si="228"/>
        <v>-1338.4899999999998</v>
      </c>
      <c r="AY92" s="25">
        <f t="shared" si="229"/>
        <v>50646.149999999994</v>
      </c>
      <c r="AZ92" s="31">
        <f t="shared" si="229"/>
        <v>45542.67</v>
      </c>
      <c r="BA92" s="31">
        <f t="shared" si="229"/>
        <v>45542.67</v>
      </c>
      <c r="BB92" s="30">
        <f t="shared" si="230"/>
        <v>-5103.4799999999959</v>
      </c>
      <c r="BC92" s="191">
        <f t="shared" si="231"/>
        <v>135056.6</v>
      </c>
      <c r="BD92" s="96">
        <f t="shared" si="231"/>
        <v>114739.74</v>
      </c>
      <c r="BE92" s="96">
        <f t="shared" si="231"/>
        <v>114739.74</v>
      </c>
      <c r="BF92" s="178">
        <f t="shared" si="232"/>
        <v>-20316.86</v>
      </c>
      <c r="BG92" s="89">
        <v>16882.05</v>
      </c>
      <c r="BH92" s="31">
        <f t="shared" ref="BH92:BH94" si="250">BI92</f>
        <v>15069.72</v>
      </c>
      <c r="BI92" s="95">
        <f>BI15</f>
        <v>15069.72</v>
      </c>
      <c r="BJ92" s="27">
        <f t="shared" si="233"/>
        <v>-1812.33</v>
      </c>
      <c r="BK92" s="89">
        <v>16882.05</v>
      </c>
      <c r="BL92" s="95">
        <f t="shared" ref="BL92:BL94" si="251">BM92</f>
        <v>15783.119999999999</v>
      </c>
      <c r="BM92" s="95">
        <f>BM15</f>
        <v>15783.119999999999</v>
      </c>
      <c r="BN92" s="27">
        <f t="shared" si="234"/>
        <v>-1098.9300000000003</v>
      </c>
      <c r="BO92" s="89">
        <v>16882.05</v>
      </c>
      <c r="BP92" s="95">
        <f t="shared" ref="BP92:BP94" si="252">BQ92</f>
        <v>15665.86</v>
      </c>
      <c r="BQ92" s="95">
        <f>BQ15</f>
        <v>15665.86</v>
      </c>
      <c r="BR92" s="41">
        <f t="shared" si="235"/>
        <v>-1216.1899999999987</v>
      </c>
      <c r="BS92" s="17">
        <f t="shared" si="236"/>
        <v>50646.149999999994</v>
      </c>
      <c r="BT92" s="18">
        <f t="shared" si="236"/>
        <v>46518.7</v>
      </c>
      <c r="BU92" s="18">
        <f t="shared" si="236"/>
        <v>46518.7</v>
      </c>
      <c r="BV92" s="20">
        <f t="shared" si="237"/>
        <v>-4127.4499999999971</v>
      </c>
      <c r="BW92" s="17">
        <f t="shared" si="238"/>
        <v>101292.29999999999</v>
      </c>
      <c r="BX92" s="18">
        <f t="shared" si="238"/>
        <v>92061.37</v>
      </c>
      <c r="BY92" s="18">
        <f t="shared" si="238"/>
        <v>92061.37</v>
      </c>
      <c r="BZ92" s="20">
        <f t="shared" si="239"/>
        <v>-9230.929999999993</v>
      </c>
      <c r="CA92" s="17">
        <f t="shared" si="240"/>
        <v>185702.75</v>
      </c>
      <c r="CB92" s="18">
        <f t="shared" si="240"/>
        <v>161258.44</v>
      </c>
      <c r="CC92" s="18">
        <f t="shared" si="220"/>
        <v>161258.44</v>
      </c>
      <c r="CD92" s="20">
        <f t="shared" si="209"/>
        <v>-24444.309999999998</v>
      </c>
      <c r="CE92" s="94"/>
      <c r="CF92" s="94"/>
      <c r="CG92" s="94"/>
      <c r="CH92" s="3"/>
      <c r="CI92" s="94"/>
      <c r="CJ92" s="91"/>
      <c r="CK92" s="91"/>
      <c r="CL92" s="91"/>
      <c r="CM92" s="91"/>
      <c r="CN92" s="91"/>
      <c r="CO92" s="91"/>
      <c r="CP92" s="91"/>
      <c r="CQ92" s="91"/>
    </row>
    <row r="93" spans="1:95" ht="18" customHeight="1" x14ac:dyDescent="0.3">
      <c r="A93" s="34">
        <v>13</v>
      </c>
      <c r="B93" s="47" t="s">
        <v>30</v>
      </c>
      <c r="C93" s="168"/>
      <c r="D93" s="43">
        <f t="shared" si="241"/>
        <v>61835.13</v>
      </c>
      <c r="E93" s="43">
        <f>E14</f>
        <v>61835.13</v>
      </c>
      <c r="F93" s="170"/>
      <c r="G93" s="89">
        <v>77763.95</v>
      </c>
      <c r="H93" s="18">
        <f t="shared" si="242"/>
        <v>7306.87</v>
      </c>
      <c r="I93" s="43">
        <f>I14</f>
        <v>7306.87</v>
      </c>
      <c r="J93" s="19"/>
      <c r="K93" s="89">
        <v>77763.95</v>
      </c>
      <c r="L93" s="31">
        <f t="shared" si="243"/>
        <v>62809.81</v>
      </c>
      <c r="M93" s="95">
        <f>M14</f>
        <v>62809.81</v>
      </c>
      <c r="N93" s="19">
        <f t="shared" si="197"/>
        <v>-14954.14</v>
      </c>
      <c r="O93" s="17">
        <f t="shared" si="218"/>
        <v>155527.9</v>
      </c>
      <c r="P93" s="17">
        <f t="shared" si="218"/>
        <v>131951.81</v>
      </c>
      <c r="Q93" s="17">
        <f t="shared" si="218"/>
        <v>131951.81</v>
      </c>
      <c r="R93" s="19">
        <f t="shared" si="172"/>
        <v>-23576.089999999997</v>
      </c>
      <c r="S93" s="83">
        <v>77763.95</v>
      </c>
      <c r="T93" s="18">
        <f t="shared" si="244"/>
        <v>64197.17</v>
      </c>
      <c r="U93" s="95">
        <f>U14</f>
        <v>64197.17</v>
      </c>
      <c r="V93" s="19"/>
      <c r="W93" s="83">
        <v>77763.95</v>
      </c>
      <c r="X93" s="18">
        <f t="shared" si="245"/>
        <v>65460.22</v>
      </c>
      <c r="Y93" s="37">
        <f>Y14</f>
        <v>65460.22</v>
      </c>
      <c r="Z93" s="18"/>
      <c r="AA93" s="83">
        <v>77763.95</v>
      </c>
      <c r="AB93" s="18">
        <f t="shared" si="246"/>
        <v>67756.789999999994</v>
      </c>
      <c r="AC93" s="43">
        <f>AC14</f>
        <v>67756.789999999994</v>
      </c>
      <c r="AD93" s="30"/>
      <c r="AE93" s="17">
        <f t="shared" si="211"/>
        <v>233291.84999999998</v>
      </c>
      <c r="AF93" s="17">
        <f t="shared" si="211"/>
        <v>197414.18</v>
      </c>
      <c r="AG93" s="17">
        <f t="shared" si="211"/>
        <v>197414.18</v>
      </c>
      <c r="AH93" s="19"/>
      <c r="AI93" s="25">
        <f t="shared" si="219"/>
        <v>388819.75</v>
      </c>
      <c r="AJ93" s="25">
        <f t="shared" si="219"/>
        <v>329365.99</v>
      </c>
      <c r="AK93" s="25">
        <f t="shared" si="219"/>
        <v>329365.99</v>
      </c>
      <c r="AL93" s="30">
        <f t="shared" si="179"/>
        <v>-59453.760000000009</v>
      </c>
      <c r="AM93" s="89">
        <v>79684.58</v>
      </c>
      <c r="AN93" s="31">
        <f t="shared" si="247"/>
        <v>69871.88</v>
      </c>
      <c r="AO93" s="31">
        <f>AO14</f>
        <v>69871.88</v>
      </c>
      <c r="AP93" s="32">
        <f t="shared" si="226"/>
        <v>-9812.6999999999971</v>
      </c>
      <c r="AQ93" s="89">
        <v>79684.58</v>
      </c>
      <c r="AR93" s="31">
        <f t="shared" si="248"/>
        <v>70204.899999999994</v>
      </c>
      <c r="AS93" s="95">
        <f>AS14</f>
        <v>70204.899999999994</v>
      </c>
      <c r="AT93" s="32">
        <f t="shared" si="227"/>
        <v>-9479.6800000000076</v>
      </c>
      <c r="AU93" s="89">
        <v>79684.58</v>
      </c>
      <c r="AV93" s="31">
        <f t="shared" si="249"/>
        <v>74592.800000000003</v>
      </c>
      <c r="AW93" s="95">
        <f>AW14</f>
        <v>74592.800000000003</v>
      </c>
      <c r="AX93" s="32">
        <f t="shared" si="228"/>
        <v>-5091.7799999999988</v>
      </c>
      <c r="AY93" s="25">
        <f t="shared" si="229"/>
        <v>239053.74</v>
      </c>
      <c r="AZ93" s="31">
        <f t="shared" si="229"/>
        <v>214669.58000000002</v>
      </c>
      <c r="BA93" s="31">
        <f t="shared" si="229"/>
        <v>214669.58000000002</v>
      </c>
      <c r="BB93" s="30">
        <f t="shared" si="230"/>
        <v>-24384.159999999974</v>
      </c>
      <c r="BC93" s="191">
        <f t="shared" si="231"/>
        <v>627873.49</v>
      </c>
      <c r="BD93" s="96">
        <f t="shared" si="231"/>
        <v>544035.57000000007</v>
      </c>
      <c r="BE93" s="96">
        <f t="shared" si="231"/>
        <v>544035.57000000007</v>
      </c>
      <c r="BF93" s="178">
        <f t="shared" si="232"/>
        <v>-83837.919999999925</v>
      </c>
      <c r="BG93" s="89">
        <v>79684.58</v>
      </c>
      <c r="BH93" s="31">
        <f t="shared" si="250"/>
        <v>71013.39</v>
      </c>
      <c r="BI93" s="95">
        <f>BI14</f>
        <v>71013.39</v>
      </c>
      <c r="BJ93" s="27">
        <f t="shared" si="233"/>
        <v>-8671.1900000000023</v>
      </c>
      <c r="BK93" s="89">
        <v>79684.58</v>
      </c>
      <c r="BL93" s="95">
        <f t="shared" si="251"/>
        <v>71668.850000000006</v>
      </c>
      <c r="BM93" s="95">
        <f>BM14</f>
        <v>71668.850000000006</v>
      </c>
      <c r="BN93" s="27">
        <f t="shared" si="234"/>
        <v>-8015.7299999999959</v>
      </c>
      <c r="BO93" s="89">
        <v>79684.58</v>
      </c>
      <c r="BP93" s="95">
        <f t="shared" si="252"/>
        <v>73942.06</v>
      </c>
      <c r="BQ93" s="95">
        <f>BQ14</f>
        <v>73942.06</v>
      </c>
      <c r="BR93" s="41">
        <f t="shared" si="235"/>
        <v>-5742.5200000000041</v>
      </c>
      <c r="BS93" s="17">
        <f t="shared" si="236"/>
        <v>239053.74</v>
      </c>
      <c r="BT93" s="18">
        <f t="shared" si="236"/>
        <v>216624.3</v>
      </c>
      <c r="BU93" s="18">
        <f t="shared" si="236"/>
        <v>216624.3</v>
      </c>
      <c r="BV93" s="20">
        <f t="shared" si="237"/>
        <v>-22429.440000000002</v>
      </c>
      <c r="BW93" s="17">
        <f t="shared" si="238"/>
        <v>478107.48</v>
      </c>
      <c r="BX93" s="18">
        <f t="shared" si="238"/>
        <v>431293.88</v>
      </c>
      <c r="BY93" s="18">
        <f t="shared" si="238"/>
        <v>431293.88</v>
      </c>
      <c r="BZ93" s="20">
        <f t="shared" si="239"/>
        <v>-46813.599999999977</v>
      </c>
      <c r="CA93" s="17">
        <f t="shared" si="240"/>
        <v>866927.23</v>
      </c>
      <c r="CB93" s="18">
        <f t="shared" si="240"/>
        <v>760659.87</v>
      </c>
      <c r="CC93" s="18">
        <f t="shared" si="240"/>
        <v>760659.87</v>
      </c>
      <c r="CD93" s="20">
        <f t="shared" si="209"/>
        <v>-106267.35999999999</v>
      </c>
      <c r="CE93" s="94"/>
      <c r="CF93" s="94"/>
      <c r="CG93" s="94"/>
      <c r="CH93" s="3"/>
      <c r="CI93" s="94"/>
      <c r="CJ93" s="91"/>
      <c r="CK93" s="91"/>
      <c r="CL93" s="91"/>
      <c r="CM93" s="91"/>
      <c r="CN93" s="91"/>
      <c r="CO93" s="91"/>
      <c r="CP93" s="91"/>
      <c r="CQ93" s="91"/>
    </row>
    <row r="94" spans="1:95" ht="18" customHeight="1" x14ac:dyDescent="0.3">
      <c r="A94" s="34">
        <v>14</v>
      </c>
      <c r="B94" s="47" t="s">
        <v>167</v>
      </c>
      <c r="C94" s="168"/>
      <c r="D94" s="43">
        <f t="shared" si="241"/>
        <v>21815.98</v>
      </c>
      <c r="E94" s="43">
        <f>E16</f>
        <v>21815.98</v>
      </c>
      <c r="F94" s="170">
        <f t="shared" si="167"/>
        <v>21815.98</v>
      </c>
      <c r="G94" s="89">
        <v>34189.870000000003</v>
      </c>
      <c r="H94" s="18">
        <f t="shared" si="242"/>
        <v>2712.03</v>
      </c>
      <c r="I94" s="43">
        <f>I16</f>
        <v>2712.03</v>
      </c>
      <c r="J94" s="19"/>
      <c r="K94" s="89">
        <v>34189.870000000003</v>
      </c>
      <c r="L94" s="31">
        <f t="shared" si="243"/>
        <v>27371.16</v>
      </c>
      <c r="M94" s="95">
        <f>M16</f>
        <v>27371.16</v>
      </c>
      <c r="N94" s="19">
        <f t="shared" si="197"/>
        <v>-6818.7100000000028</v>
      </c>
      <c r="O94" s="17">
        <f t="shared" si="218"/>
        <v>68379.740000000005</v>
      </c>
      <c r="P94" s="17">
        <f t="shared" si="218"/>
        <v>51899.17</v>
      </c>
      <c r="Q94" s="17">
        <f t="shared" si="218"/>
        <v>51899.17</v>
      </c>
      <c r="R94" s="19">
        <f t="shared" si="172"/>
        <v>-16480.570000000007</v>
      </c>
      <c r="S94" s="83">
        <v>34189.870000000003</v>
      </c>
      <c r="T94" s="18">
        <f t="shared" si="244"/>
        <v>28066.28</v>
      </c>
      <c r="U94" s="95">
        <f>U16</f>
        <v>28066.28</v>
      </c>
      <c r="V94" s="19"/>
      <c r="W94" s="83">
        <v>34189.870000000003</v>
      </c>
      <c r="X94" s="18">
        <f t="shared" si="245"/>
        <v>28678.1</v>
      </c>
      <c r="Y94" s="37">
        <f>Y16</f>
        <v>28678.1</v>
      </c>
      <c r="Z94" s="18"/>
      <c r="AA94" s="83">
        <v>34189.870000000003</v>
      </c>
      <c r="AB94" s="18">
        <f t="shared" si="246"/>
        <v>29640.03</v>
      </c>
      <c r="AC94" s="43">
        <f>AC16</f>
        <v>29640.03</v>
      </c>
      <c r="AD94" s="30"/>
      <c r="AE94" s="17">
        <f t="shared" si="211"/>
        <v>102569.61000000002</v>
      </c>
      <c r="AF94" s="17">
        <f t="shared" si="211"/>
        <v>86384.41</v>
      </c>
      <c r="AG94" s="17">
        <f t="shared" si="211"/>
        <v>86384.41</v>
      </c>
      <c r="AH94" s="19"/>
      <c r="AI94" s="25">
        <f t="shared" si="219"/>
        <v>170949.35000000003</v>
      </c>
      <c r="AJ94" s="25">
        <f t="shared" si="219"/>
        <v>138283.58000000002</v>
      </c>
      <c r="AK94" s="25">
        <f t="shared" si="219"/>
        <v>138283.58000000002</v>
      </c>
      <c r="AL94" s="30">
        <f t="shared" si="179"/>
        <v>-32665.770000000019</v>
      </c>
      <c r="AM94" s="89">
        <v>34189.870000000003</v>
      </c>
      <c r="AN94" s="31">
        <f t="shared" si="247"/>
        <v>30515.77</v>
      </c>
      <c r="AO94" s="31">
        <f>AO16</f>
        <v>30515.77</v>
      </c>
      <c r="AP94" s="32">
        <f t="shared" si="226"/>
        <v>-3674.1000000000022</v>
      </c>
      <c r="AQ94" s="89">
        <v>34189.870000000003</v>
      </c>
      <c r="AR94" s="31">
        <f t="shared" si="248"/>
        <v>30085.51</v>
      </c>
      <c r="AS94" s="95">
        <f>AS16</f>
        <v>30085.51</v>
      </c>
      <c r="AT94" s="32">
        <f t="shared" si="227"/>
        <v>-4104.3600000000042</v>
      </c>
      <c r="AU94" s="89">
        <v>34189.870000000003</v>
      </c>
      <c r="AV94" s="31">
        <f t="shared" si="249"/>
        <v>30142.79</v>
      </c>
      <c r="AW94" s="95">
        <f>AW16</f>
        <v>30142.79</v>
      </c>
      <c r="AX94" s="32">
        <f t="shared" si="228"/>
        <v>-4047.0800000000017</v>
      </c>
      <c r="AY94" s="25">
        <f t="shared" si="229"/>
        <v>102569.61000000002</v>
      </c>
      <c r="AZ94" s="31">
        <f t="shared" si="229"/>
        <v>90744.07</v>
      </c>
      <c r="BA94" s="31">
        <f t="shared" si="229"/>
        <v>90744.07</v>
      </c>
      <c r="BB94" s="30">
        <f t="shared" si="230"/>
        <v>-11825.540000000008</v>
      </c>
      <c r="BC94" s="191">
        <f t="shared" si="231"/>
        <v>273518.96000000008</v>
      </c>
      <c r="BD94" s="96">
        <f t="shared" si="231"/>
        <v>229027.65000000002</v>
      </c>
      <c r="BE94" s="96">
        <f t="shared" si="231"/>
        <v>229027.65000000002</v>
      </c>
      <c r="BF94" s="178">
        <f t="shared" si="232"/>
        <v>-44491.310000000056</v>
      </c>
      <c r="BG94" s="89">
        <v>34189.870000000003</v>
      </c>
      <c r="BH94" s="31">
        <f t="shared" si="250"/>
        <v>30391.14</v>
      </c>
      <c r="BI94" s="95">
        <f>BI16</f>
        <v>30391.14</v>
      </c>
      <c r="BJ94" s="27">
        <f t="shared" si="233"/>
        <v>-3798.7300000000032</v>
      </c>
      <c r="BK94" s="89">
        <v>34189.870000000003</v>
      </c>
      <c r="BL94" s="95">
        <f t="shared" si="251"/>
        <v>29316.85</v>
      </c>
      <c r="BM94" s="95">
        <f>BM16</f>
        <v>29316.85</v>
      </c>
      <c r="BN94" s="27">
        <f t="shared" si="234"/>
        <v>-4873.0200000000041</v>
      </c>
      <c r="BO94" s="89">
        <v>34189.870000000003</v>
      </c>
      <c r="BP94" s="95">
        <f t="shared" si="252"/>
        <v>31655.89</v>
      </c>
      <c r="BQ94" s="95">
        <f>BQ16</f>
        <v>31655.89</v>
      </c>
      <c r="BR94" s="41">
        <f t="shared" si="235"/>
        <v>-2533.9800000000032</v>
      </c>
      <c r="BS94" s="17">
        <f t="shared" si="236"/>
        <v>102569.61000000002</v>
      </c>
      <c r="BT94" s="18">
        <f t="shared" si="236"/>
        <v>91363.88</v>
      </c>
      <c r="BU94" s="18">
        <f t="shared" si="236"/>
        <v>91363.88</v>
      </c>
      <c r="BV94" s="20">
        <f t="shared" si="237"/>
        <v>-11205.73000000001</v>
      </c>
      <c r="BW94" s="17">
        <f t="shared" si="238"/>
        <v>205139.22000000003</v>
      </c>
      <c r="BX94" s="18">
        <f t="shared" si="238"/>
        <v>182107.95</v>
      </c>
      <c r="BY94" s="18">
        <f t="shared" si="238"/>
        <v>182107.95</v>
      </c>
      <c r="BZ94" s="20">
        <f t="shared" si="239"/>
        <v>-23031.270000000019</v>
      </c>
      <c r="CA94" s="17">
        <f t="shared" si="240"/>
        <v>376088.57000000007</v>
      </c>
      <c r="CB94" s="18">
        <f t="shared" si="240"/>
        <v>320391.53000000003</v>
      </c>
      <c r="CC94" s="18">
        <f t="shared" si="240"/>
        <v>320391.53000000003</v>
      </c>
      <c r="CD94" s="20">
        <f t="shared" si="209"/>
        <v>-55697.040000000037</v>
      </c>
      <c r="CE94" s="94"/>
      <c r="CF94" s="94"/>
      <c r="CG94" s="94"/>
      <c r="CH94" s="3"/>
      <c r="CI94" s="94"/>
      <c r="CJ94" s="91"/>
      <c r="CK94" s="91"/>
      <c r="CL94" s="91"/>
      <c r="CM94" s="91"/>
      <c r="CN94" s="91"/>
      <c r="CO94" s="91"/>
      <c r="CP94" s="91"/>
      <c r="CQ94" s="91"/>
    </row>
    <row r="95" spans="1:95" ht="15.75" customHeight="1" x14ac:dyDescent="0.3">
      <c r="A95" s="211" t="s">
        <v>92</v>
      </c>
      <c r="B95" s="211"/>
      <c r="C95" s="175">
        <f>C96+C97+C98+C100+C108+C130+C131+C99</f>
        <v>1059601.43</v>
      </c>
      <c r="D95" s="36">
        <f t="shared" ref="D95:L95" si="253">D96+D97+D98+D100+D108+D130+D131+D99</f>
        <v>765820.78</v>
      </c>
      <c r="E95" s="36">
        <f t="shared" si="253"/>
        <v>826588.21000000008</v>
      </c>
      <c r="F95" s="180">
        <f t="shared" si="253"/>
        <v>-293780.65000000008</v>
      </c>
      <c r="G95" s="105">
        <f t="shared" si="253"/>
        <v>1063543.23</v>
      </c>
      <c r="H95" s="36">
        <f t="shared" si="253"/>
        <v>887956.46</v>
      </c>
      <c r="I95" s="36">
        <f t="shared" si="253"/>
        <v>973983.90999999992</v>
      </c>
      <c r="J95" s="36">
        <f t="shared" si="253"/>
        <v>-175586.77</v>
      </c>
      <c r="K95" s="36">
        <f t="shared" si="253"/>
        <v>1057043.23</v>
      </c>
      <c r="L95" s="36">
        <f t="shared" si="253"/>
        <v>1257269.6600000001</v>
      </c>
      <c r="M95" s="36">
        <f>M96+M97+M98+M100+M108+M130+M131+M99</f>
        <v>955777.83</v>
      </c>
      <c r="N95" s="137">
        <f t="shared" si="197"/>
        <v>200226.43000000017</v>
      </c>
      <c r="O95" s="36">
        <f t="shared" ref="O95:Y95" si="254">O96+O97+O98+O100+O108+O130+O131+O99</f>
        <v>3180187.8900000006</v>
      </c>
      <c r="P95" s="36">
        <f t="shared" si="254"/>
        <v>2911046.9</v>
      </c>
      <c r="Q95" s="36">
        <f t="shared" si="254"/>
        <v>2756349.9499999993</v>
      </c>
      <c r="R95" s="36">
        <f t="shared" si="254"/>
        <v>-269140.99000000011</v>
      </c>
      <c r="S95" s="36">
        <f>S96+S97+S98+S100+S108+S130+S131+S99</f>
        <v>1043542.64</v>
      </c>
      <c r="T95" s="36">
        <f t="shared" si="254"/>
        <v>749611.1100000001</v>
      </c>
      <c r="U95" s="36">
        <f>U96+U97+U98+U100+U108+U130+U131+U99</f>
        <v>1153383.6299999999</v>
      </c>
      <c r="V95" s="36">
        <f t="shared" si="254"/>
        <v>-293931.52999999997</v>
      </c>
      <c r="W95" s="36">
        <f t="shared" si="254"/>
        <v>1049542.92</v>
      </c>
      <c r="X95" s="36">
        <f t="shared" si="254"/>
        <v>933185.47000000009</v>
      </c>
      <c r="Y95" s="109">
        <f t="shared" si="254"/>
        <v>846321.2699999999</v>
      </c>
      <c r="Z95" s="36">
        <f t="shared" si="224"/>
        <v>-116357.44999999984</v>
      </c>
      <c r="AA95" s="105">
        <f>AA96+AA97+AA98+AA100+AA108+AA130+AA131+AA99</f>
        <v>1050042.8899999999</v>
      </c>
      <c r="AB95" s="36">
        <f>AB96+AB97+AB98+AB100+AB108+AB130+AB131+AB99</f>
        <v>1382055.83</v>
      </c>
      <c r="AC95" s="36">
        <f>AC96+AC97+AC98+AC100+AC108+AC130+AC131+AC99</f>
        <v>841702.83000000007</v>
      </c>
      <c r="AD95" s="107">
        <f t="shared" si="225"/>
        <v>332012.94000000018</v>
      </c>
      <c r="AE95" s="106">
        <f>AE96+AE97+AE98+AE100+AE108+AE130+AE131+AE99</f>
        <v>3143128.4499999997</v>
      </c>
      <c r="AF95" s="36">
        <f>AF96+AF97+AF98+AF100+AF108+AF130+AF131+AF99</f>
        <v>3064852.41</v>
      </c>
      <c r="AG95" s="36">
        <f>AG96+AG97+AG98+AG100+AG108+AG130+AG131+AG99</f>
        <v>2841407.73</v>
      </c>
      <c r="AH95" s="204">
        <f t="shared" si="212"/>
        <v>-78276.039999999572</v>
      </c>
      <c r="AI95" s="106">
        <f>AI96+AI97+AI98+AI100+AI108+AI130+AI131+AI99</f>
        <v>6323316.3399999999</v>
      </c>
      <c r="AJ95" s="36">
        <f>AJ96+AJ97+AJ98+AJ100+AJ108+AJ130+AJ131+AJ99</f>
        <v>5975899.3099999996</v>
      </c>
      <c r="AK95" s="36">
        <f>AK96+AK97+AK98+AK100+AK108+AK130+AK131+AK99</f>
        <v>5597757.6799999988</v>
      </c>
      <c r="AL95" s="107">
        <f t="shared" si="179"/>
        <v>-347417.03000000026</v>
      </c>
      <c r="AM95" s="36">
        <f>AM96+AM97+AM98+AM100+AM108+AM131+AM99</f>
        <v>1050359.23</v>
      </c>
      <c r="AN95" s="36">
        <f>AN96+AN97+AN98+AN100+AN108+AN130+AN131+AN99</f>
        <v>930645</v>
      </c>
      <c r="AO95" s="36">
        <f>AO96+AO97+AO98+AO100+AO108+AO130+AO131+AO99</f>
        <v>1460858.7</v>
      </c>
      <c r="AP95" s="108">
        <f t="shared" si="226"/>
        <v>-119714.22999999998</v>
      </c>
      <c r="AQ95" s="36">
        <f>AQ96+AQ97+AQ98+AQ100+AQ108+AQ130+AQ131+AQ99</f>
        <v>1045859.23</v>
      </c>
      <c r="AR95" s="36">
        <f>AR96+AR97+AR98+AR100+AR108+AR130+AR131+AR99</f>
        <v>884805.6100000001</v>
      </c>
      <c r="AS95" s="36">
        <f>AS96+AS97+AS98+AS100+AS108+AS130+AS131+AS99</f>
        <v>870926.99</v>
      </c>
      <c r="AT95" s="108">
        <f t="shared" si="227"/>
        <v>-161053.61999999988</v>
      </c>
      <c r="AU95" s="36">
        <f>AU96+AU97+AU98+AU100+AU108+AU130+AU131+AU99</f>
        <v>1035859.49</v>
      </c>
      <c r="AV95" s="36">
        <f>AV96+AV97+AV98+AV100+AV108+AV130+AV131+AV99</f>
        <v>1508678.75</v>
      </c>
      <c r="AW95" s="110">
        <f>AW96+AW97+AW98+AW100+AW108+AW130+AW131+AW99</f>
        <v>959802.62000000011</v>
      </c>
      <c r="AX95" s="108">
        <f t="shared" si="228"/>
        <v>472819.26</v>
      </c>
      <c r="AY95" s="106">
        <f>AY96+AY97+AY98+AY100+AY108+AY130+AY131+AY99</f>
        <v>3132077.46</v>
      </c>
      <c r="AZ95" s="36">
        <f>AZ96+AZ97+AZ98+AZ100+AZ99+AZ108+AZ130+AZ131</f>
        <v>3324129.36</v>
      </c>
      <c r="BA95" s="36">
        <f>BA96+BA97+BA98+BA100+BA99+BA108+BA130+BA131</f>
        <v>3291588.31</v>
      </c>
      <c r="BB95" s="109">
        <f t="shared" si="230"/>
        <v>192051.89999999991</v>
      </c>
      <c r="BC95" s="195">
        <f t="shared" si="231"/>
        <v>9455393.8000000007</v>
      </c>
      <c r="BD95" s="138">
        <f t="shared" si="231"/>
        <v>9300028.6699999999</v>
      </c>
      <c r="BE95" s="138">
        <f t="shared" si="231"/>
        <v>8889345.9899999984</v>
      </c>
      <c r="BF95" s="193">
        <f t="shared" si="232"/>
        <v>-155365.13000000082</v>
      </c>
      <c r="BG95" s="185">
        <f>BG96+BG97+BG98+BG100+BG108+BG130+BG131+BG99</f>
        <v>1054859.49</v>
      </c>
      <c r="BH95" s="110">
        <f>BH96+BH97+BH98+BH100+BH108+BH130+BH131+BH99</f>
        <v>1017060.99</v>
      </c>
      <c r="BI95" s="110">
        <f>BI96+BI97+BI98+BI100+BI108+BI130+BI131+BI99</f>
        <v>1397664.02</v>
      </c>
      <c r="BJ95" s="139">
        <f t="shared" si="233"/>
        <v>-37798.5</v>
      </c>
      <c r="BK95" s="110">
        <f>BK96+BK97+BK98+BK100+BK108+BK130+BK131+BK99</f>
        <v>1059859.4099999999</v>
      </c>
      <c r="BL95" s="110">
        <f>BL96+BL97+BL98+BL99+BL100+BL108+BL130+BL131</f>
        <v>864878.34</v>
      </c>
      <c r="BM95" s="110">
        <f>BM96+BM97+BM98+BM99+BM100+BM108</f>
        <v>1154188.06</v>
      </c>
      <c r="BN95" s="139">
        <f t="shared" si="234"/>
        <v>-194981.06999999995</v>
      </c>
      <c r="BO95" s="110">
        <f>BO96+BO97+BO98+BO100+BO108+BO130+BO131+BO99</f>
        <v>1067859.6399999999</v>
      </c>
      <c r="BP95" s="110">
        <f>BP96+BP97+BP98+BP99+BP100+BP108</f>
        <v>1663522.9</v>
      </c>
      <c r="BQ95" s="110">
        <f>BQ96+BQ97+BQ98+BQ99+BQ100+BQ108+BQ130+BQ131</f>
        <v>2035630.37</v>
      </c>
      <c r="BR95" s="139">
        <f t="shared" si="235"/>
        <v>595663.26</v>
      </c>
      <c r="BS95" s="140">
        <f t="shared" si="236"/>
        <v>3182578.54</v>
      </c>
      <c r="BT95" s="36">
        <f>BT96+BT97+BT98+BT100+BT99+BT108+BT130+BT131</f>
        <v>3545462.23</v>
      </c>
      <c r="BU95" s="36">
        <f>BU96+BU97+BU98+BU100+BU99+BU108+BU130+BU131</f>
        <v>4587482.45</v>
      </c>
      <c r="BV95" s="139">
        <f t="shared" si="237"/>
        <v>362883.68999999994</v>
      </c>
      <c r="BW95" s="140">
        <f t="shared" si="238"/>
        <v>6314656</v>
      </c>
      <c r="BX95" s="36">
        <f>BX96+BX97+BX98+BX100+BX99+BX108+BX130+BX131</f>
        <v>6869591.5900000008</v>
      </c>
      <c r="BY95" s="36">
        <f>BY96+BY97+BY98+BY100+BY99+BY108+BY130+BY131</f>
        <v>7879070.7600000007</v>
      </c>
      <c r="BZ95" s="139">
        <f t="shared" si="239"/>
        <v>554935.59000000078</v>
      </c>
      <c r="CA95" s="140">
        <f>CA96+CA97+CA98+CA100+CA108+CA130+CA131+CA99</f>
        <v>12637972.34</v>
      </c>
      <c r="CB95" s="140">
        <f t="shared" ref="CB95:CC95" si="255">CB96+CB97+CB98+CB100+CB108+CB130+CB131+CB99</f>
        <v>12851890.899999999</v>
      </c>
      <c r="CC95" s="140">
        <f t="shared" si="255"/>
        <v>13476828.439999999</v>
      </c>
      <c r="CD95" s="139">
        <f>CB95-CA95</f>
        <v>213918.55999999866</v>
      </c>
      <c r="CE95" s="94"/>
      <c r="CF95" s="94">
        <f>CC95/CC33*100</f>
        <v>29.186790702850018</v>
      </c>
      <c r="CG95" s="93"/>
      <c r="CH95" s="93"/>
      <c r="CI95" s="94"/>
      <c r="CJ95" s="141">
        <f>CJ96+CJ97+CJ98+CJ100+CJ108+CJ130+CJ131</f>
        <v>3180478.54</v>
      </c>
      <c r="CK95" s="141">
        <f>CK96+CK97+CK98+CK100+CK108+CK130+CK131</f>
        <v>3545462.23</v>
      </c>
      <c r="CL95" s="141">
        <f>CL96+CL97+CL98+CL100+CL108+CL130+CL131</f>
        <v>4587482.45</v>
      </c>
      <c r="CM95" s="141">
        <f>CM96+CM97+CM98+CM100+CM108+CM130+CM131</f>
        <v>364983.68999999989</v>
      </c>
      <c r="CN95" s="141">
        <f t="shared" si="166"/>
        <v>12635872.34</v>
      </c>
      <c r="CO95" s="141">
        <f t="shared" si="166"/>
        <v>12845490.9</v>
      </c>
      <c r="CP95" s="141">
        <f t="shared" si="166"/>
        <v>13476828.440000001</v>
      </c>
      <c r="CQ95" s="141">
        <f t="shared" si="166"/>
        <v>209618.56000000011</v>
      </c>
    </row>
    <row r="96" spans="1:95" ht="16.5" x14ac:dyDescent="0.3">
      <c r="A96" s="9">
        <v>1</v>
      </c>
      <c r="B96" s="10" t="s">
        <v>93</v>
      </c>
      <c r="C96" s="174">
        <v>143909.26</v>
      </c>
      <c r="D96" s="43">
        <v>128363.81</v>
      </c>
      <c r="E96" s="43">
        <v>126694.69</v>
      </c>
      <c r="F96" s="177">
        <f t="shared" ref="F96:F131" si="256">D96-C96</f>
        <v>-15545.450000000012</v>
      </c>
      <c r="G96" s="83">
        <v>149062.70000000001</v>
      </c>
      <c r="H96" s="43">
        <v>139932.29</v>
      </c>
      <c r="I96" s="43">
        <v>137151.46</v>
      </c>
      <c r="J96" s="19">
        <f t="shared" ref="J96:J131" si="257">H96-G96</f>
        <v>-9130.4100000000035</v>
      </c>
      <c r="K96" s="17">
        <v>149062.70000000001</v>
      </c>
      <c r="L96" s="18">
        <v>144478.91</v>
      </c>
      <c r="M96" s="43">
        <v>148073.79</v>
      </c>
      <c r="N96" s="19">
        <f t="shared" si="197"/>
        <v>-4583.7900000000081</v>
      </c>
      <c r="O96" s="17">
        <f t="shared" ref="O96:O101" si="258">C96+G96+K96</f>
        <v>442034.66000000003</v>
      </c>
      <c r="P96" s="43">
        <f t="shared" ref="P96:Q101" si="259">L96+H96+D96</f>
        <v>412775.01</v>
      </c>
      <c r="Q96" s="43">
        <f t="shared" si="259"/>
        <v>411919.94</v>
      </c>
      <c r="R96" s="19">
        <f t="shared" ref="R96:R105" si="260">P96-O96</f>
        <v>-29259.650000000023</v>
      </c>
      <c r="S96" s="17">
        <v>149062.70000000001</v>
      </c>
      <c r="T96" s="18">
        <v>146786</v>
      </c>
      <c r="U96" s="43">
        <v>145253.10999999999</v>
      </c>
      <c r="V96" s="19">
        <f t="shared" ref="V96:V105" si="261">T96-S96</f>
        <v>-2276.7000000000116</v>
      </c>
      <c r="W96" s="17">
        <v>149062.70000000001</v>
      </c>
      <c r="X96" s="18">
        <v>141312.35999999999</v>
      </c>
      <c r="Y96" s="37">
        <v>136568.13</v>
      </c>
      <c r="Z96" s="18">
        <f t="shared" si="224"/>
        <v>-7750.3400000000256</v>
      </c>
      <c r="AA96" s="83">
        <v>149062.70000000001</v>
      </c>
      <c r="AB96" s="43">
        <v>147966.56</v>
      </c>
      <c r="AC96" s="43">
        <v>148233.46</v>
      </c>
      <c r="AD96" s="19">
        <f t="shared" si="225"/>
        <v>-1096.140000000014</v>
      </c>
      <c r="AE96" s="17">
        <f t="shared" ref="AE96:AG99" si="262">S96+W96+AA96</f>
        <v>447188.10000000003</v>
      </c>
      <c r="AF96" s="18">
        <f t="shared" si="262"/>
        <v>436064.92</v>
      </c>
      <c r="AG96" s="18">
        <f t="shared" si="262"/>
        <v>430054.69999999995</v>
      </c>
      <c r="AH96" s="19">
        <f t="shared" si="212"/>
        <v>-11123.180000000051</v>
      </c>
      <c r="AI96" s="17">
        <f t="shared" ref="AI96:AK99" si="263">AE96+O96</f>
        <v>889222.76</v>
      </c>
      <c r="AJ96" s="18">
        <f t="shared" si="263"/>
        <v>848839.92999999993</v>
      </c>
      <c r="AK96" s="18">
        <f t="shared" si="263"/>
        <v>841974.6399999999</v>
      </c>
      <c r="AL96" s="19">
        <f t="shared" si="179"/>
        <v>-40382.830000000075</v>
      </c>
      <c r="AM96" s="17">
        <v>149715.70000000001</v>
      </c>
      <c r="AN96" s="43">
        <v>152083.76999999999</v>
      </c>
      <c r="AO96" s="43">
        <v>153702.75</v>
      </c>
      <c r="AP96" s="20">
        <f t="shared" si="226"/>
        <v>2368.0699999999779</v>
      </c>
      <c r="AQ96" s="17">
        <v>149715.70000000001</v>
      </c>
      <c r="AR96" s="43">
        <v>148303.1</v>
      </c>
      <c r="AS96" s="43">
        <v>147186.31</v>
      </c>
      <c r="AT96" s="20">
        <f t="shared" si="227"/>
        <v>-1412.6000000000058</v>
      </c>
      <c r="AU96" s="17">
        <v>149715.70000000001</v>
      </c>
      <c r="AV96" s="43">
        <v>150037.88</v>
      </c>
      <c r="AW96" s="43">
        <v>151032.79999999999</v>
      </c>
      <c r="AX96" s="20">
        <f t="shared" si="228"/>
        <v>322.17999999999302</v>
      </c>
      <c r="AY96" s="17">
        <f t="shared" ref="AY96:BA99" si="264">AM96+AQ96+AU96</f>
        <v>449147.10000000003</v>
      </c>
      <c r="AZ96" s="18">
        <f t="shared" si="264"/>
        <v>450424.75</v>
      </c>
      <c r="BA96" s="18">
        <f t="shared" si="264"/>
        <v>451921.86</v>
      </c>
      <c r="BB96" s="19">
        <f t="shared" si="230"/>
        <v>1277.6499999999651</v>
      </c>
      <c r="BC96" s="190">
        <f t="shared" si="231"/>
        <v>1338369.8600000001</v>
      </c>
      <c r="BD96" s="84">
        <f t="shared" si="231"/>
        <v>1299264.68</v>
      </c>
      <c r="BE96" s="84">
        <f t="shared" si="231"/>
        <v>1293896.5</v>
      </c>
      <c r="BF96" s="170">
        <f t="shared" si="232"/>
        <v>-39105.180000000168</v>
      </c>
      <c r="BG96" s="17">
        <v>149715.70000000001</v>
      </c>
      <c r="BH96" s="43">
        <v>146907.71</v>
      </c>
      <c r="BI96" s="43">
        <v>148084.89000000001</v>
      </c>
      <c r="BJ96" s="41">
        <f t="shared" si="233"/>
        <v>-2807.9900000000198</v>
      </c>
      <c r="BK96" s="17">
        <v>149715.70000000001</v>
      </c>
      <c r="BL96" s="43">
        <v>142963.14000000001</v>
      </c>
      <c r="BM96" s="43">
        <v>140572.85</v>
      </c>
      <c r="BN96" s="41">
        <f t="shared" si="234"/>
        <v>-6752.5599999999977</v>
      </c>
      <c r="BO96" s="17">
        <v>149715.70000000001</v>
      </c>
      <c r="BP96" s="43">
        <v>155572.32</v>
      </c>
      <c r="BQ96" s="43">
        <v>160522.63</v>
      </c>
      <c r="BR96" s="41">
        <f t="shared" si="235"/>
        <v>5856.6199999999953</v>
      </c>
      <c r="BS96" s="17">
        <f t="shared" si="236"/>
        <v>449147.10000000003</v>
      </c>
      <c r="BT96" s="18">
        <f t="shared" si="236"/>
        <v>445443.17</v>
      </c>
      <c r="BU96" s="18">
        <f t="shared" si="236"/>
        <v>449180.37</v>
      </c>
      <c r="BV96" s="20">
        <f t="shared" si="237"/>
        <v>-3703.9300000000512</v>
      </c>
      <c r="BW96" s="17">
        <f t="shared" si="238"/>
        <v>898294.20000000007</v>
      </c>
      <c r="BX96" s="18">
        <f t="shared" si="238"/>
        <v>895867.91999999993</v>
      </c>
      <c r="BY96" s="18">
        <f t="shared" si="238"/>
        <v>901102.23</v>
      </c>
      <c r="BZ96" s="20">
        <f t="shared" si="239"/>
        <v>-2426.2800000001444</v>
      </c>
      <c r="CA96" s="17">
        <f t="shared" ref="CA96:CC99" si="265">BW96+AI96</f>
        <v>1787516.96</v>
      </c>
      <c r="CB96" s="18">
        <f t="shared" si="265"/>
        <v>1744707.8499999999</v>
      </c>
      <c r="CC96" s="18">
        <f t="shared" si="265"/>
        <v>1743076.8699999999</v>
      </c>
      <c r="CD96" s="20">
        <f>CB96-CA96</f>
        <v>-42809.110000000102</v>
      </c>
      <c r="CE96" s="94"/>
      <c r="CF96" s="94"/>
      <c r="CG96" s="93"/>
      <c r="CH96" s="93"/>
      <c r="CI96" s="94"/>
      <c r="CJ96" s="91">
        <f t="shared" ref="CJ96:CM101" si="266">BG96+BK96+BO96</f>
        <v>449147.10000000003</v>
      </c>
      <c r="CK96" s="91">
        <f t="shared" si="266"/>
        <v>445443.17</v>
      </c>
      <c r="CL96" s="91">
        <f t="shared" si="266"/>
        <v>449180.37</v>
      </c>
      <c r="CM96" s="91">
        <f t="shared" si="266"/>
        <v>-3703.9300000000221</v>
      </c>
      <c r="CN96" s="91">
        <f t="shared" si="166"/>
        <v>1787516.9600000002</v>
      </c>
      <c r="CO96" s="91">
        <f t="shared" si="166"/>
        <v>1744707.8499999999</v>
      </c>
      <c r="CP96" s="91">
        <f t="shared" si="166"/>
        <v>1743076.87</v>
      </c>
      <c r="CQ96" s="91">
        <f t="shared" si="166"/>
        <v>-42809.110000000132</v>
      </c>
    </row>
    <row r="97" spans="1:95" ht="16.5" x14ac:dyDescent="0.3">
      <c r="A97" s="9">
        <v>2</v>
      </c>
      <c r="B97" s="33" t="s">
        <v>94</v>
      </c>
      <c r="C97" s="174">
        <v>571145</v>
      </c>
      <c r="D97" s="18">
        <v>394419.16</v>
      </c>
      <c r="E97" s="43">
        <f>374323.44-5457-3721.35</f>
        <v>365145.09</v>
      </c>
      <c r="F97" s="170">
        <f t="shared" si="256"/>
        <v>-176725.84000000003</v>
      </c>
      <c r="G97" s="83">
        <v>571145</v>
      </c>
      <c r="H97" s="43">
        <f>475139.21-5461</f>
        <v>469678.21</v>
      </c>
      <c r="I97" s="43">
        <f>427461.49-5461</f>
        <v>422000.49</v>
      </c>
      <c r="J97" s="19">
        <f t="shared" si="257"/>
        <v>-101466.78999999998</v>
      </c>
      <c r="K97" s="17">
        <v>571145</v>
      </c>
      <c r="L97" s="43">
        <f>576871.55-5464</f>
        <v>571407.55000000005</v>
      </c>
      <c r="M97" s="43">
        <f>564098.38-2433.54-5464</f>
        <v>556200.84</v>
      </c>
      <c r="N97" s="19">
        <f t="shared" si="197"/>
        <v>262.55000000004657</v>
      </c>
      <c r="O97" s="17">
        <f t="shared" si="258"/>
        <v>1713435</v>
      </c>
      <c r="P97" s="43">
        <f t="shared" si="259"/>
        <v>1435504.92</v>
      </c>
      <c r="Q97" s="43">
        <f t="shared" si="259"/>
        <v>1343346.42</v>
      </c>
      <c r="R97" s="19">
        <f t="shared" si="260"/>
        <v>-277930.08000000007</v>
      </c>
      <c r="S97" s="17">
        <v>571145</v>
      </c>
      <c r="T97" s="18">
        <f>419206.59-5464</f>
        <v>413742.59</v>
      </c>
      <c r="U97" s="43">
        <v>480352.82</v>
      </c>
      <c r="V97" s="19">
        <f t="shared" si="261"/>
        <v>-157402.40999999997</v>
      </c>
      <c r="W97" s="17">
        <v>571145</v>
      </c>
      <c r="X97" s="18">
        <f>515332.78-5463</f>
        <v>509869.78</v>
      </c>
      <c r="Y97" s="37">
        <f>443491.85-13767.84-10925</f>
        <v>418799.00999999995</v>
      </c>
      <c r="Z97" s="18">
        <f t="shared" si="224"/>
        <v>-61275.219999999972</v>
      </c>
      <c r="AA97" s="83">
        <v>571145</v>
      </c>
      <c r="AB97" s="43">
        <f>533025.53-5466</f>
        <v>527559.53</v>
      </c>
      <c r="AC97" s="43">
        <f>508218.42-5466</f>
        <v>502752.42</v>
      </c>
      <c r="AD97" s="19">
        <f t="shared" si="225"/>
        <v>-43585.469999999972</v>
      </c>
      <c r="AE97" s="17">
        <f t="shared" si="262"/>
        <v>1713435</v>
      </c>
      <c r="AF97" s="18">
        <f t="shared" si="262"/>
        <v>1451171.9000000001</v>
      </c>
      <c r="AG97" s="18">
        <f t="shared" si="262"/>
        <v>1401904.25</v>
      </c>
      <c r="AH97" s="19">
        <f t="shared" si="212"/>
        <v>-262263.09999999986</v>
      </c>
      <c r="AI97" s="17">
        <f t="shared" si="263"/>
        <v>3426870</v>
      </c>
      <c r="AJ97" s="18">
        <f t="shared" si="263"/>
        <v>2886676.8200000003</v>
      </c>
      <c r="AK97" s="18">
        <f t="shared" si="263"/>
        <v>2745250.67</v>
      </c>
      <c r="AL97" s="19">
        <f t="shared" si="179"/>
        <v>-540193.1799999997</v>
      </c>
      <c r="AM97" s="17">
        <v>571145</v>
      </c>
      <c r="AN97" s="18">
        <f>574875.48-5460</f>
        <v>569415.48</v>
      </c>
      <c r="AO97" s="43">
        <f>601402.85-5460</f>
        <v>595942.85</v>
      </c>
      <c r="AP97" s="20">
        <f t="shared" si="226"/>
        <v>-1729.5200000000186</v>
      </c>
      <c r="AQ97" s="17">
        <v>571145</v>
      </c>
      <c r="AR97" s="43">
        <f>527195-5454</f>
        <v>521741</v>
      </c>
      <c r="AS97" s="43">
        <f>513977.01-5067.21-5454</f>
        <v>503455.8</v>
      </c>
      <c r="AT97" s="20">
        <f t="shared" si="227"/>
        <v>-49404</v>
      </c>
      <c r="AU97" s="17">
        <v>571145</v>
      </c>
      <c r="AV97" s="18">
        <f>597850.1-5455</f>
        <v>592395.1</v>
      </c>
      <c r="AW97" s="43">
        <f>617264.52-5067.21-5455</f>
        <v>606742.31000000006</v>
      </c>
      <c r="AX97" s="20">
        <f t="shared" si="228"/>
        <v>21250.099999999977</v>
      </c>
      <c r="AY97" s="17">
        <f t="shared" si="264"/>
        <v>1713435</v>
      </c>
      <c r="AZ97" s="18">
        <f t="shared" si="264"/>
        <v>1683551.58</v>
      </c>
      <c r="BA97" s="18">
        <f t="shared" si="264"/>
        <v>1706140.96</v>
      </c>
      <c r="BB97" s="19">
        <f t="shared" si="230"/>
        <v>-29883.419999999925</v>
      </c>
      <c r="BC97" s="194">
        <f t="shared" si="231"/>
        <v>5140305</v>
      </c>
      <c r="BD97" s="124">
        <f t="shared" si="231"/>
        <v>4570228.4000000004</v>
      </c>
      <c r="BE97" s="124">
        <f t="shared" si="231"/>
        <v>4451391.63</v>
      </c>
      <c r="BF97" s="170">
        <f t="shared" si="232"/>
        <v>-570076.59999999963</v>
      </c>
      <c r="BG97" s="17">
        <v>571145</v>
      </c>
      <c r="BH97" s="18">
        <f>679275.44-9513.21-5455</f>
        <v>664307.23</v>
      </c>
      <c r="BI97" s="43">
        <f>574649.23-8068.29-5455</f>
        <v>561125.93999999994</v>
      </c>
      <c r="BJ97" s="41">
        <f t="shared" si="233"/>
        <v>93162.229999999981</v>
      </c>
      <c r="BK97" s="17">
        <v>571145</v>
      </c>
      <c r="BL97" s="43">
        <f>483827.95-6756.69-5447</f>
        <v>471624.26</v>
      </c>
      <c r="BM97" s="43">
        <f>698023.75-9513.21-5447</f>
        <v>683063.54</v>
      </c>
      <c r="BN97" s="41">
        <f t="shared" si="234"/>
        <v>-99520.739999999991</v>
      </c>
      <c r="BO97" s="17">
        <v>571145</v>
      </c>
      <c r="BP97" s="43">
        <f>1108695.51-5450-3001.08</f>
        <v>1100244.43</v>
      </c>
      <c r="BQ97" s="43">
        <f>1362313.07-5450-9757.77</f>
        <v>1347105.3</v>
      </c>
      <c r="BR97" s="41">
        <f t="shared" si="235"/>
        <v>529099.42999999993</v>
      </c>
      <c r="BS97" s="17">
        <f t="shared" si="236"/>
        <v>1713435</v>
      </c>
      <c r="BT97" s="18">
        <f t="shared" si="236"/>
        <v>2236175.92</v>
      </c>
      <c r="BU97" s="18">
        <f t="shared" si="236"/>
        <v>2591294.7800000003</v>
      </c>
      <c r="BV97" s="20">
        <f t="shared" si="237"/>
        <v>522740.91999999993</v>
      </c>
      <c r="BW97" s="17">
        <f t="shared" si="238"/>
        <v>3426870</v>
      </c>
      <c r="BX97" s="18">
        <f t="shared" si="238"/>
        <v>3919727.5</v>
      </c>
      <c r="BY97" s="18">
        <f t="shared" si="238"/>
        <v>4297435.74</v>
      </c>
      <c r="BZ97" s="20">
        <f t="shared" si="239"/>
        <v>492857.5</v>
      </c>
      <c r="CA97" s="17">
        <f t="shared" si="265"/>
        <v>6853740</v>
      </c>
      <c r="CB97" s="18">
        <f t="shared" si="265"/>
        <v>6806404.3200000003</v>
      </c>
      <c r="CC97" s="18">
        <f t="shared" si="265"/>
        <v>7042686.4100000001</v>
      </c>
      <c r="CD97" s="20">
        <f t="shared" ref="CD97:CD99" si="267">CB97-CA97</f>
        <v>-47335.679999999702</v>
      </c>
      <c r="CE97" s="93"/>
      <c r="CF97" s="94"/>
      <c r="CG97" s="93"/>
      <c r="CH97" s="93"/>
      <c r="CI97" s="94"/>
      <c r="CJ97" s="91">
        <f t="shared" si="266"/>
        <v>1713435</v>
      </c>
      <c r="CK97" s="91">
        <f t="shared" si="266"/>
        <v>2236175.92</v>
      </c>
      <c r="CL97" s="91">
        <f t="shared" si="266"/>
        <v>2591294.7800000003</v>
      </c>
      <c r="CM97" s="91">
        <f t="shared" si="266"/>
        <v>522740.91999999993</v>
      </c>
      <c r="CN97" s="91">
        <f t="shared" si="166"/>
        <v>6853740</v>
      </c>
      <c r="CO97" s="91">
        <f t="shared" si="166"/>
        <v>6806404.3200000003</v>
      </c>
      <c r="CP97" s="91">
        <f t="shared" si="166"/>
        <v>7042686.4100000001</v>
      </c>
      <c r="CQ97" s="91">
        <f t="shared" si="166"/>
        <v>-47335.679999999935</v>
      </c>
    </row>
    <row r="98" spans="1:95" ht="16.5" x14ac:dyDescent="0.3">
      <c r="A98" s="9">
        <v>3</v>
      </c>
      <c r="B98" s="33" t="s">
        <v>158</v>
      </c>
      <c r="C98" s="174">
        <v>172485.7</v>
      </c>
      <c r="D98" s="18">
        <v>119114.61</v>
      </c>
      <c r="E98" s="43">
        <v>205159.74</v>
      </c>
      <c r="F98" s="170">
        <f t="shared" si="256"/>
        <v>-53371.090000000011</v>
      </c>
      <c r="G98" s="83">
        <v>172485.7</v>
      </c>
      <c r="H98" s="43">
        <v>142528.22</v>
      </c>
      <c r="I98" s="43">
        <v>119114.61</v>
      </c>
      <c r="J98" s="19">
        <f t="shared" si="257"/>
        <v>-29957.48000000001</v>
      </c>
      <c r="K98" s="17">
        <v>172485.7</v>
      </c>
      <c r="L98" s="43">
        <v>173852.79999999999</v>
      </c>
      <c r="M98" s="43">
        <v>142528.22</v>
      </c>
      <c r="N98" s="19">
        <f t="shared" si="197"/>
        <v>1367.0999999999767</v>
      </c>
      <c r="O98" s="17">
        <f t="shared" si="258"/>
        <v>517457.10000000003</v>
      </c>
      <c r="P98" s="43">
        <f t="shared" si="259"/>
        <v>435495.63</v>
      </c>
      <c r="Q98" s="43">
        <f t="shared" si="259"/>
        <v>466802.57</v>
      </c>
      <c r="R98" s="19">
        <f t="shared" si="260"/>
        <v>-81961.47000000003</v>
      </c>
      <c r="S98" s="17">
        <v>172485.1</v>
      </c>
      <c r="T98" s="18">
        <v>83570.75</v>
      </c>
      <c r="U98" s="43">
        <v>173852.79999999999</v>
      </c>
      <c r="V98" s="19">
        <f t="shared" si="261"/>
        <v>-88914.35</v>
      </c>
      <c r="W98" s="17">
        <v>172485.4</v>
      </c>
      <c r="X98" s="18">
        <v>101113.03</v>
      </c>
      <c r="Y98" s="37">
        <v>83570.75</v>
      </c>
      <c r="Z98" s="18">
        <f t="shared" si="224"/>
        <v>-71372.37</v>
      </c>
      <c r="AA98" s="83">
        <v>172485.36</v>
      </c>
      <c r="AB98" s="18">
        <v>103547.03</v>
      </c>
      <c r="AC98" s="43">
        <v>101113.03</v>
      </c>
      <c r="AD98" s="19">
        <f t="shared" si="225"/>
        <v>-68938.329999999987</v>
      </c>
      <c r="AE98" s="17">
        <f t="shared" si="262"/>
        <v>517455.86</v>
      </c>
      <c r="AF98" s="18">
        <f t="shared" si="262"/>
        <v>288230.81</v>
      </c>
      <c r="AG98" s="18">
        <f t="shared" si="262"/>
        <v>358536.57999999996</v>
      </c>
      <c r="AH98" s="19">
        <f t="shared" si="212"/>
        <v>-229225.05</v>
      </c>
      <c r="AI98" s="17">
        <f t="shared" si="263"/>
        <v>1034912.96</v>
      </c>
      <c r="AJ98" s="18">
        <f t="shared" si="263"/>
        <v>723726.44</v>
      </c>
      <c r="AK98" s="18">
        <f t="shared" si="263"/>
        <v>825339.14999999991</v>
      </c>
      <c r="AL98" s="19">
        <f t="shared" si="179"/>
        <v>-311186.52</v>
      </c>
      <c r="AM98" s="17">
        <v>172485.45</v>
      </c>
      <c r="AN98" s="18">
        <v>107094.67</v>
      </c>
      <c r="AO98" s="43">
        <v>103547.03</v>
      </c>
      <c r="AP98" s="20">
        <f t="shared" si="226"/>
        <v>-65390.780000000013</v>
      </c>
      <c r="AQ98" s="17">
        <v>172485.45</v>
      </c>
      <c r="AR98" s="43">
        <v>102337.19</v>
      </c>
      <c r="AS98" s="43">
        <v>107094.67</v>
      </c>
      <c r="AT98" s="20">
        <f t="shared" si="227"/>
        <v>-70148.260000000009</v>
      </c>
      <c r="AU98" s="17">
        <v>172485.45</v>
      </c>
      <c r="AV98" s="18">
        <v>114620.81</v>
      </c>
      <c r="AW98" s="43">
        <v>102337.19</v>
      </c>
      <c r="AX98" s="20">
        <f t="shared" si="228"/>
        <v>-57864.640000000014</v>
      </c>
      <c r="AY98" s="17">
        <f t="shared" si="264"/>
        <v>517456.35000000003</v>
      </c>
      <c r="AZ98" s="18">
        <f t="shared" si="264"/>
        <v>324052.67</v>
      </c>
      <c r="BA98" s="18">
        <f t="shared" si="264"/>
        <v>312978.89</v>
      </c>
      <c r="BB98" s="19">
        <f t="shared" si="230"/>
        <v>-193403.68000000005</v>
      </c>
      <c r="BC98" s="194">
        <f t="shared" si="231"/>
        <v>1552369.31</v>
      </c>
      <c r="BD98" s="124">
        <f t="shared" si="231"/>
        <v>1047779.1099999999</v>
      </c>
      <c r="BE98" s="124">
        <f t="shared" si="231"/>
        <v>1138318.04</v>
      </c>
      <c r="BF98" s="170">
        <f t="shared" si="232"/>
        <v>-504590.20000000019</v>
      </c>
      <c r="BG98" s="17">
        <v>172485.45</v>
      </c>
      <c r="BH98" s="18">
        <v>125621.61</v>
      </c>
      <c r="BI98" s="43">
        <v>114620.81</v>
      </c>
      <c r="BJ98" s="41">
        <f t="shared" si="233"/>
        <v>-46863.840000000011</v>
      </c>
      <c r="BK98" s="17">
        <v>172485.45</v>
      </c>
      <c r="BL98" s="43">
        <v>95357.07</v>
      </c>
      <c r="BM98" s="43">
        <v>125621.61</v>
      </c>
      <c r="BN98" s="41">
        <f t="shared" si="234"/>
        <v>-77128.38</v>
      </c>
      <c r="BO98" s="17">
        <v>172485.45</v>
      </c>
      <c r="BP98" s="43">
        <v>175789.21</v>
      </c>
      <c r="BQ98" s="43">
        <f>BP98+BL98</f>
        <v>271146.28000000003</v>
      </c>
      <c r="BR98" s="41">
        <f t="shared" si="235"/>
        <v>3303.7599999999802</v>
      </c>
      <c r="BS98" s="17">
        <f t="shared" si="236"/>
        <v>517456.35000000003</v>
      </c>
      <c r="BT98" s="18">
        <f t="shared" si="236"/>
        <v>396767.89</v>
      </c>
      <c r="BU98" s="18">
        <f t="shared" si="236"/>
        <v>511388.7</v>
      </c>
      <c r="BV98" s="20">
        <f t="shared" si="237"/>
        <v>-120688.46000000002</v>
      </c>
      <c r="BW98" s="17">
        <f t="shared" si="238"/>
        <v>1034912.7000000001</v>
      </c>
      <c r="BX98" s="18">
        <f t="shared" si="238"/>
        <v>720820.56</v>
      </c>
      <c r="BY98" s="18">
        <f t="shared" si="238"/>
        <v>824367.59000000008</v>
      </c>
      <c r="BZ98" s="20">
        <f t="shared" si="239"/>
        <v>-314092.14</v>
      </c>
      <c r="CA98" s="17">
        <f t="shared" si="265"/>
        <v>2069825.6600000001</v>
      </c>
      <c r="CB98" s="18">
        <f t="shared" si="265"/>
        <v>1444547</v>
      </c>
      <c r="CC98" s="18">
        <f t="shared" si="265"/>
        <v>1649706.74</v>
      </c>
      <c r="CD98" s="20">
        <f t="shared" si="267"/>
        <v>-625278.66000000015</v>
      </c>
      <c r="CE98" s="94"/>
      <c r="CF98" s="94"/>
      <c r="CG98" s="93"/>
      <c r="CH98" s="93"/>
      <c r="CI98" s="94"/>
      <c r="CJ98" s="91">
        <f t="shared" si="266"/>
        <v>517456.35000000003</v>
      </c>
      <c r="CK98" s="91">
        <f t="shared" si="266"/>
        <v>396767.89</v>
      </c>
      <c r="CL98" s="91">
        <f t="shared" si="266"/>
        <v>511388.7</v>
      </c>
      <c r="CM98" s="91">
        <f t="shared" si="266"/>
        <v>-120688.46000000004</v>
      </c>
      <c r="CN98" s="91">
        <f t="shared" si="166"/>
        <v>2069825.6600000001</v>
      </c>
      <c r="CO98" s="91">
        <f t="shared" si="166"/>
        <v>1444547</v>
      </c>
      <c r="CP98" s="91">
        <f t="shared" si="166"/>
        <v>1649706.74</v>
      </c>
      <c r="CQ98" s="91">
        <f t="shared" si="166"/>
        <v>-625278.66000000015</v>
      </c>
    </row>
    <row r="99" spans="1:95" ht="16.5" x14ac:dyDescent="0.3">
      <c r="A99" s="9"/>
      <c r="B99" s="48" t="s">
        <v>95</v>
      </c>
      <c r="C99" s="174">
        <v>700</v>
      </c>
      <c r="D99" s="18"/>
      <c r="E99" s="43"/>
      <c r="F99" s="170">
        <f t="shared" si="256"/>
        <v>-700</v>
      </c>
      <c r="G99" s="83">
        <v>700</v>
      </c>
      <c r="H99" s="18"/>
      <c r="I99" s="43"/>
      <c r="J99" s="19">
        <f t="shared" si="257"/>
        <v>-700</v>
      </c>
      <c r="K99" s="17">
        <v>700</v>
      </c>
      <c r="L99" s="18"/>
      <c r="M99" s="43"/>
      <c r="N99" s="19">
        <f t="shared" si="197"/>
        <v>-700</v>
      </c>
      <c r="O99" s="17">
        <f t="shared" si="258"/>
        <v>2100</v>
      </c>
      <c r="P99" s="43">
        <f t="shared" si="259"/>
        <v>0</v>
      </c>
      <c r="Q99" s="43">
        <f t="shared" si="259"/>
        <v>0</v>
      </c>
      <c r="R99" s="19">
        <f t="shared" si="260"/>
        <v>-2100</v>
      </c>
      <c r="S99" s="17">
        <v>700</v>
      </c>
      <c r="T99" s="18"/>
      <c r="U99" s="43"/>
      <c r="V99" s="19">
        <f t="shared" si="261"/>
        <v>-700</v>
      </c>
      <c r="W99" s="17">
        <v>700</v>
      </c>
      <c r="X99" s="18"/>
      <c r="Y99" s="37"/>
      <c r="Z99" s="18">
        <f t="shared" si="224"/>
        <v>-700</v>
      </c>
      <c r="AA99" s="83">
        <v>700</v>
      </c>
      <c r="AB99" s="18"/>
      <c r="AC99" s="43"/>
      <c r="AD99" s="19">
        <f t="shared" si="225"/>
        <v>-700</v>
      </c>
      <c r="AE99" s="17">
        <f t="shared" si="262"/>
        <v>2100</v>
      </c>
      <c r="AF99" s="18">
        <f t="shared" si="262"/>
        <v>0</v>
      </c>
      <c r="AG99" s="18">
        <f t="shared" si="262"/>
        <v>0</v>
      </c>
      <c r="AH99" s="19">
        <f t="shared" si="212"/>
        <v>-2100</v>
      </c>
      <c r="AI99" s="17">
        <f t="shared" si="263"/>
        <v>4200</v>
      </c>
      <c r="AJ99" s="18">
        <f t="shared" si="263"/>
        <v>0</v>
      </c>
      <c r="AK99" s="18">
        <f t="shared" si="263"/>
        <v>0</v>
      </c>
      <c r="AL99" s="19">
        <f t="shared" si="179"/>
        <v>-4200</v>
      </c>
      <c r="AM99" s="17">
        <v>700</v>
      </c>
      <c r="AN99" s="18"/>
      <c r="AO99" s="43"/>
      <c r="AP99" s="20">
        <f t="shared" si="226"/>
        <v>-700</v>
      </c>
      <c r="AQ99" s="17">
        <v>700</v>
      </c>
      <c r="AR99" s="43"/>
      <c r="AS99" s="43"/>
      <c r="AT99" s="20">
        <f t="shared" si="227"/>
        <v>-700</v>
      </c>
      <c r="AU99" s="17">
        <v>700</v>
      </c>
      <c r="AV99" s="18"/>
      <c r="AW99" s="43"/>
      <c r="AX99" s="20">
        <f t="shared" si="228"/>
        <v>-700</v>
      </c>
      <c r="AY99" s="17">
        <f t="shared" si="264"/>
        <v>2100</v>
      </c>
      <c r="AZ99" s="18">
        <f t="shared" si="264"/>
        <v>0</v>
      </c>
      <c r="BA99" s="18">
        <f t="shared" si="264"/>
        <v>0</v>
      </c>
      <c r="BB99" s="19">
        <f t="shared" si="230"/>
        <v>-2100</v>
      </c>
      <c r="BC99" s="190">
        <f t="shared" si="231"/>
        <v>6300</v>
      </c>
      <c r="BD99" s="84">
        <f t="shared" si="231"/>
        <v>0</v>
      </c>
      <c r="BE99" s="84">
        <f t="shared" si="231"/>
        <v>0</v>
      </c>
      <c r="BF99" s="170">
        <f t="shared" si="232"/>
        <v>-6300</v>
      </c>
      <c r="BG99" s="17">
        <v>700</v>
      </c>
      <c r="BH99" s="18"/>
      <c r="BI99" s="43"/>
      <c r="BJ99" s="41">
        <f t="shared" si="233"/>
        <v>-700</v>
      </c>
      <c r="BK99" s="17">
        <v>700</v>
      </c>
      <c r="BL99" s="43"/>
      <c r="BM99" s="43"/>
      <c r="BN99" s="41">
        <f t="shared" si="234"/>
        <v>-700</v>
      </c>
      <c r="BO99" s="17">
        <v>700</v>
      </c>
      <c r="BP99" s="43"/>
      <c r="BQ99" s="43"/>
      <c r="BR99" s="41">
        <f t="shared" si="235"/>
        <v>-700</v>
      </c>
      <c r="BS99" s="17">
        <f t="shared" si="236"/>
        <v>2100</v>
      </c>
      <c r="BT99" s="18">
        <f t="shared" si="236"/>
        <v>0</v>
      </c>
      <c r="BU99" s="18">
        <f t="shared" si="236"/>
        <v>0</v>
      </c>
      <c r="BV99" s="20">
        <f t="shared" si="237"/>
        <v>-2100</v>
      </c>
      <c r="BW99" s="17">
        <f t="shared" si="238"/>
        <v>4200</v>
      </c>
      <c r="BX99" s="18">
        <f t="shared" si="238"/>
        <v>0</v>
      </c>
      <c r="BY99" s="18">
        <f t="shared" si="238"/>
        <v>0</v>
      </c>
      <c r="BZ99" s="20">
        <f t="shared" si="239"/>
        <v>-4200</v>
      </c>
      <c r="CA99" s="17">
        <f t="shared" si="265"/>
        <v>8400</v>
      </c>
      <c r="CB99" s="18">
        <f t="shared" si="265"/>
        <v>0</v>
      </c>
      <c r="CC99" s="18">
        <f t="shared" si="265"/>
        <v>0</v>
      </c>
      <c r="CD99" s="20">
        <f t="shared" si="267"/>
        <v>-8400</v>
      </c>
      <c r="CE99" s="94"/>
      <c r="CF99" s="94"/>
      <c r="CG99" s="93"/>
      <c r="CH99" s="93"/>
      <c r="CI99" s="94"/>
      <c r="CJ99" s="91">
        <f t="shared" si="266"/>
        <v>2100</v>
      </c>
      <c r="CK99" s="91">
        <f t="shared" si="266"/>
        <v>0</v>
      </c>
      <c r="CL99" s="91">
        <f t="shared" si="266"/>
        <v>0</v>
      </c>
      <c r="CM99" s="91">
        <f t="shared" si="266"/>
        <v>-2100</v>
      </c>
      <c r="CN99" s="91">
        <f t="shared" ref="CN99:CQ132" si="268">O99+AE99+AY99+CJ99</f>
        <v>8400</v>
      </c>
      <c r="CO99" s="91">
        <f t="shared" si="268"/>
        <v>0</v>
      </c>
      <c r="CP99" s="91">
        <f t="shared" si="268"/>
        <v>0</v>
      </c>
      <c r="CQ99" s="91">
        <f t="shared" si="268"/>
        <v>-8400</v>
      </c>
    </row>
    <row r="100" spans="1:95" ht="16.5" x14ac:dyDescent="0.3">
      <c r="A100" s="9">
        <v>4</v>
      </c>
      <c r="B100" s="33" t="s">
        <v>96</v>
      </c>
      <c r="C100" s="168">
        <f>C101+C102+C107</f>
        <v>70122.42</v>
      </c>
      <c r="D100" s="25">
        <f>D101+D102+D107</f>
        <v>52279.42</v>
      </c>
      <c r="E100" s="90">
        <f>E101+E102+E107</f>
        <v>51291.81</v>
      </c>
      <c r="F100" s="170">
        <f t="shared" si="256"/>
        <v>-17843</v>
      </c>
      <c r="G100" s="89">
        <f>G101+G102+G107</f>
        <v>67622.42</v>
      </c>
      <c r="H100" s="25">
        <f>H101+H102+H107</f>
        <v>51399.24</v>
      </c>
      <c r="I100" s="90">
        <f>I101+I102+I107</f>
        <v>52279.42</v>
      </c>
      <c r="J100" s="19">
        <f t="shared" si="257"/>
        <v>-16223.18</v>
      </c>
      <c r="K100" s="25">
        <f>K101+K102+K107</f>
        <v>61122.42</v>
      </c>
      <c r="L100" s="25">
        <f>L101+L102+L107</f>
        <v>49844.14</v>
      </c>
      <c r="M100" s="90">
        <f>M101+M102+M107</f>
        <v>51574.78</v>
      </c>
      <c r="N100" s="30">
        <f t="shared" si="197"/>
        <v>-11278.279999999999</v>
      </c>
      <c r="O100" s="95">
        <f t="shared" ref="O100" si="269">K100+G100+C100</f>
        <v>198867.26</v>
      </c>
      <c r="P100" s="95">
        <f t="shared" si="259"/>
        <v>153522.79999999999</v>
      </c>
      <c r="Q100" s="95">
        <f t="shared" si="259"/>
        <v>155146.01</v>
      </c>
      <c r="R100" s="30">
        <f t="shared" si="260"/>
        <v>-45344.460000000021</v>
      </c>
      <c r="S100" s="25">
        <f>S101+S102+S107</f>
        <v>57622.42</v>
      </c>
      <c r="T100" s="31">
        <f>T101+T102+T107</f>
        <v>49038.1</v>
      </c>
      <c r="U100" s="95">
        <f>U101+U102+U107</f>
        <v>50445.17</v>
      </c>
      <c r="V100" s="30">
        <f t="shared" si="261"/>
        <v>-8584.32</v>
      </c>
      <c r="W100" s="25">
        <f>W101+W102+W107</f>
        <v>53622.42</v>
      </c>
      <c r="X100" s="31">
        <f>X101+X102+X107</f>
        <v>45686.3</v>
      </c>
      <c r="Y100" s="40">
        <f>Y101+Y102+Y107</f>
        <v>49039.78</v>
      </c>
      <c r="Z100" s="31">
        <f t="shared" si="224"/>
        <v>-7936.1199999999953</v>
      </c>
      <c r="AA100" s="89">
        <f>AA101+AA102+AA107</f>
        <v>54122.42</v>
      </c>
      <c r="AB100" s="31">
        <f>AB101+AB102+AB107</f>
        <v>47062.97</v>
      </c>
      <c r="AC100" s="95">
        <f>AC101+AC102+AC107</f>
        <v>45686.299999999996</v>
      </c>
      <c r="AD100" s="30">
        <f t="shared" si="225"/>
        <v>-7059.4499999999971</v>
      </c>
      <c r="AE100" s="25">
        <f>AE101+AE102+AE107</f>
        <v>165367.26</v>
      </c>
      <c r="AF100" s="31">
        <f>AF101+AF102+AF107</f>
        <v>141787.37</v>
      </c>
      <c r="AG100" s="31">
        <f>AG101+AG102+AG107</f>
        <v>145171.25</v>
      </c>
      <c r="AH100" s="19">
        <f t="shared" si="212"/>
        <v>-23579.890000000014</v>
      </c>
      <c r="AI100" s="25">
        <f>AI101+AI102+AI107</f>
        <v>364234.52</v>
      </c>
      <c r="AJ100" s="31">
        <f>AJ101+AJ102+AJ107</f>
        <v>295310.17</v>
      </c>
      <c r="AK100" s="31">
        <f>AK101+AK102+AK107</f>
        <v>300317.26</v>
      </c>
      <c r="AL100" s="30">
        <f t="shared" si="179"/>
        <v>-68924.350000000035</v>
      </c>
      <c r="AM100" s="25">
        <f>AM101+AM102+AM107</f>
        <v>50622.42</v>
      </c>
      <c r="AN100" s="31">
        <f>AN101+AN102+AN107</f>
        <v>49655.570000000007</v>
      </c>
      <c r="AO100" s="31">
        <f>AO101+AO102+AO107</f>
        <v>52648.09</v>
      </c>
      <c r="AP100" s="32">
        <f t="shared" si="226"/>
        <v>-966.84999999999127</v>
      </c>
      <c r="AQ100" s="25">
        <f>AQ101+AQ102+AQ107</f>
        <v>51122.42</v>
      </c>
      <c r="AR100" s="95">
        <f>AR101+AR102+AR107</f>
        <v>46680.65</v>
      </c>
      <c r="AS100" s="95">
        <f>AS101+AS102+AS107</f>
        <v>46333.829999999994</v>
      </c>
      <c r="AT100" s="32">
        <f t="shared" si="227"/>
        <v>-4441.7699999999968</v>
      </c>
      <c r="AU100" s="25">
        <f>AU101+AU102+AU107</f>
        <v>51122.42</v>
      </c>
      <c r="AV100" s="31">
        <f>AV101+AV102+AV107</f>
        <v>52461.760000000002</v>
      </c>
      <c r="AW100" s="95">
        <f>AW101+AW102+AW107</f>
        <v>50376.039999999994</v>
      </c>
      <c r="AX100" s="32">
        <f t="shared" si="228"/>
        <v>1339.3400000000038</v>
      </c>
      <c r="AY100" s="25">
        <f>AY101+AY102+AY107</f>
        <v>152867.26</v>
      </c>
      <c r="AZ100" s="31">
        <f>AZ101+AZ102+AZ107</f>
        <v>148797.98000000001</v>
      </c>
      <c r="BA100" s="31">
        <f>BA101+BA102+BA107</f>
        <v>149357.96</v>
      </c>
      <c r="BB100" s="30">
        <f t="shared" si="230"/>
        <v>-4069.2799999999988</v>
      </c>
      <c r="BC100" s="190">
        <f t="shared" si="231"/>
        <v>517101.78</v>
      </c>
      <c r="BD100" s="84">
        <f t="shared" si="231"/>
        <v>444108.15</v>
      </c>
      <c r="BE100" s="84">
        <f t="shared" si="231"/>
        <v>449675.22</v>
      </c>
      <c r="BF100" s="170">
        <f t="shared" si="232"/>
        <v>-72993.63</v>
      </c>
      <c r="BG100" s="89">
        <f>BG101+BG102+BG107</f>
        <v>60122.42</v>
      </c>
      <c r="BH100" s="31">
        <f>BH101+BH102+BH107</f>
        <v>49618.05</v>
      </c>
      <c r="BI100" s="95">
        <f>BI101+BI102+BI107</f>
        <v>4103.1499999999996</v>
      </c>
      <c r="BJ100" s="27">
        <f t="shared" si="233"/>
        <v>-10504.369999999995</v>
      </c>
      <c r="BK100" s="90">
        <f>BK101+BK102+BK107</f>
        <v>65122.42</v>
      </c>
      <c r="BL100" s="95">
        <f>BL101+BL102+BL107</f>
        <v>53228.010000000009</v>
      </c>
      <c r="BM100" s="95">
        <f>BM101+BM102+BM107</f>
        <v>91696.349999999991</v>
      </c>
      <c r="BN100" s="27">
        <f t="shared" si="234"/>
        <v>-11894.409999999989</v>
      </c>
      <c r="BO100" s="90">
        <f>BO101+BO102+BO107</f>
        <v>65122.42</v>
      </c>
      <c r="BP100" s="95">
        <f>BP101+BP102</f>
        <v>56290.41</v>
      </c>
      <c r="BQ100" s="95">
        <f>BQ101+BQ102</f>
        <v>64452.63</v>
      </c>
      <c r="BR100" s="27">
        <f t="shared" si="235"/>
        <v>-8832.0099999999948</v>
      </c>
      <c r="BS100" s="17">
        <f t="shared" si="236"/>
        <v>190367.26</v>
      </c>
      <c r="BT100" s="18">
        <f t="shared" si="236"/>
        <v>159136.47000000003</v>
      </c>
      <c r="BU100" s="18">
        <f>BI100+BM100+BQ100</f>
        <v>160252.12999999998</v>
      </c>
      <c r="BV100" s="20">
        <f t="shared" si="237"/>
        <v>-31230.789999999979</v>
      </c>
      <c r="BW100" s="17">
        <f t="shared" si="238"/>
        <v>343234.52</v>
      </c>
      <c r="BX100" s="18">
        <f t="shared" si="238"/>
        <v>307934.45000000007</v>
      </c>
      <c r="BY100" s="18">
        <f>BU100+BA100</f>
        <v>309610.08999999997</v>
      </c>
      <c r="BZ100" s="20">
        <f t="shared" si="239"/>
        <v>-35300.069999999949</v>
      </c>
      <c r="CA100" s="25">
        <f>CA101+CA102+CA107</f>
        <v>707469.04</v>
      </c>
      <c r="CB100" s="25">
        <f t="shared" ref="CB100:CC100" si="270">CB101+CB102+CB107</f>
        <v>603244.62</v>
      </c>
      <c r="CC100" s="25">
        <f t="shared" si="270"/>
        <v>609927.35</v>
      </c>
      <c r="CD100" s="32">
        <f t="shared" ref="CD100:CD113" si="271">CB100-CA100</f>
        <v>-104224.42000000004</v>
      </c>
      <c r="CG100" s="93"/>
      <c r="CH100" s="93"/>
      <c r="CJ100" s="91">
        <f t="shared" si="266"/>
        <v>190367.26</v>
      </c>
      <c r="CK100" s="91">
        <f t="shared" si="266"/>
        <v>159136.47000000003</v>
      </c>
      <c r="CL100" s="91">
        <f t="shared" si="266"/>
        <v>160252.12999999998</v>
      </c>
      <c r="CM100" s="91">
        <f t="shared" si="266"/>
        <v>-31230.789999999979</v>
      </c>
      <c r="CN100" s="91">
        <f t="shared" si="268"/>
        <v>707469.04</v>
      </c>
      <c r="CO100" s="91">
        <f t="shared" si="268"/>
        <v>603244.62000000011</v>
      </c>
      <c r="CP100" s="91">
        <f t="shared" si="268"/>
        <v>609927.35</v>
      </c>
      <c r="CQ100" s="91">
        <f t="shared" si="268"/>
        <v>-104224.42000000001</v>
      </c>
    </row>
    <row r="101" spans="1:95" ht="16.5" x14ac:dyDescent="0.3">
      <c r="A101" s="9">
        <v>4.0999999999999996</v>
      </c>
      <c r="B101" s="39" t="s">
        <v>97</v>
      </c>
      <c r="C101" s="168">
        <v>41622.42</v>
      </c>
      <c r="D101" s="43">
        <v>41622.42</v>
      </c>
      <c r="E101" s="43">
        <v>41622.42</v>
      </c>
      <c r="F101" s="170">
        <f t="shared" si="256"/>
        <v>0</v>
      </c>
      <c r="G101" s="83">
        <v>41622.42</v>
      </c>
      <c r="H101" s="18">
        <v>41622.42</v>
      </c>
      <c r="I101" s="43">
        <v>41622.42</v>
      </c>
      <c r="J101" s="19">
        <f t="shared" si="257"/>
        <v>0</v>
      </c>
      <c r="K101" s="17">
        <v>41622.42</v>
      </c>
      <c r="L101" s="18">
        <v>41797.97</v>
      </c>
      <c r="M101" s="43">
        <v>41797.97</v>
      </c>
      <c r="N101" s="19">
        <f t="shared" si="197"/>
        <v>175.55000000000291</v>
      </c>
      <c r="O101" s="17">
        <f t="shared" si="258"/>
        <v>124867.26</v>
      </c>
      <c r="P101" s="43">
        <f t="shared" si="259"/>
        <v>125042.81</v>
      </c>
      <c r="Q101" s="43">
        <f t="shared" si="259"/>
        <v>125042.81</v>
      </c>
      <c r="R101" s="19">
        <f t="shared" si="260"/>
        <v>175.55000000000291</v>
      </c>
      <c r="S101" s="17">
        <v>41622.42</v>
      </c>
      <c r="T101" s="18">
        <v>42399</v>
      </c>
      <c r="U101" s="43">
        <v>42399</v>
      </c>
      <c r="V101" s="19">
        <f t="shared" si="261"/>
        <v>776.58000000000175</v>
      </c>
      <c r="W101" s="17">
        <v>41622.42</v>
      </c>
      <c r="X101" s="18">
        <f>15708.6+26691.24</f>
        <v>42399.840000000004</v>
      </c>
      <c r="Y101" s="37">
        <v>42400.68</v>
      </c>
      <c r="Z101" s="18">
        <f t="shared" si="224"/>
        <v>777.42000000000553</v>
      </c>
      <c r="AA101" s="83">
        <v>41622.42</v>
      </c>
      <c r="AB101" s="18">
        <f>15708.6+26691.24</f>
        <v>42399.840000000004</v>
      </c>
      <c r="AC101" s="43">
        <v>42399.839999999997</v>
      </c>
      <c r="AD101" s="19">
        <f t="shared" si="225"/>
        <v>777.42000000000553</v>
      </c>
      <c r="AE101" s="17">
        <f>S101+W101+AA101</f>
        <v>124867.26</v>
      </c>
      <c r="AF101" s="18">
        <f>T101+X101+AB101</f>
        <v>127198.68</v>
      </c>
      <c r="AG101" s="18">
        <f>U101+Y101+AC101</f>
        <v>127199.51999999999</v>
      </c>
      <c r="AH101" s="19">
        <f t="shared" si="212"/>
        <v>2331.4199999999983</v>
      </c>
      <c r="AI101" s="17">
        <f>AE101+O101</f>
        <v>249734.52</v>
      </c>
      <c r="AJ101" s="18">
        <f>AF101+P101</f>
        <v>252241.49</v>
      </c>
      <c r="AK101" s="18">
        <f>AG101+Q101</f>
        <v>252242.33</v>
      </c>
      <c r="AL101" s="19">
        <f t="shared" si="179"/>
        <v>2506.9700000000012</v>
      </c>
      <c r="AM101" s="17">
        <v>41622.42</v>
      </c>
      <c r="AN101" s="18">
        <f>26691.24+15708.6</f>
        <v>42399.840000000004</v>
      </c>
      <c r="AO101" s="18">
        <v>44053.84</v>
      </c>
      <c r="AP101" s="20">
        <f t="shared" si="226"/>
        <v>777.42000000000553</v>
      </c>
      <c r="AQ101" s="17">
        <v>41622.42</v>
      </c>
      <c r="AR101" s="43">
        <f>26691.24+15708.6</f>
        <v>42399.840000000004</v>
      </c>
      <c r="AS101" s="43">
        <v>42399.839999999997</v>
      </c>
      <c r="AT101" s="20">
        <f t="shared" si="227"/>
        <v>777.42000000000553</v>
      </c>
      <c r="AU101" s="17">
        <v>41622.42</v>
      </c>
      <c r="AV101" s="18">
        <f>26691.24+15708.6</f>
        <v>42399.840000000004</v>
      </c>
      <c r="AW101" s="43">
        <v>40745.839999999997</v>
      </c>
      <c r="AX101" s="20">
        <f t="shared" si="228"/>
        <v>777.42000000000553</v>
      </c>
      <c r="AY101" s="17">
        <f>AM101+AQ101+AU101</f>
        <v>124867.26</v>
      </c>
      <c r="AZ101" s="18">
        <f>AN101+AR101+AV101</f>
        <v>127199.52000000002</v>
      </c>
      <c r="BA101" s="18">
        <f>AO101+AS101+AW101</f>
        <v>127199.51999999999</v>
      </c>
      <c r="BB101" s="19">
        <f t="shared" si="230"/>
        <v>2332.2600000000239</v>
      </c>
      <c r="BC101" s="190">
        <f t="shared" si="231"/>
        <v>374601.77999999997</v>
      </c>
      <c r="BD101" s="84">
        <f t="shared" si="231"/>
        <v>379441.01</v>
      </c>
      <c r="BE101" s="84">
        <f t="shared" si="231"/>
        <v>379441.85</v>
      </c>
      <c r="BF101" s="170">
        <f t="shared" si="232"/>
        <v>4839.2300000000396</v>
      </c>
      <c r="BG101" s="17">
        <v>41622.42</v>
      </c>
      <c r="BH101" s="18">
        <f>26691.24+15708.6</f>
        <v>42399.840000000004</v>
      </c>
      <c r="BI101" s="43"/>
      <c r="BJ101" s="41">
        <f t="shared" si="233"/>
        <v>777.42000000000553</v>
      </c>
      <c r="BK101" s="17">
        <v>41622.42</v>
      </c>
      <c r="BL101" s="43">
        <f>26691.24+15708.6</f>
        <v>42399.840000000004</v>
      </c>
      <c r="BM101" s="43">
        <v>84799.679999999993</v>
      </c>
      <c r="BN101" s="41">
        <f t="shared" si="234"/>
        <v>777.42000000000553</v>
      </c>
      <c r="BO101" s="17">
        <v>41622.42</v>
      </c>
      <c r="BP101" s="43">
        <f>26691.24+15708.6</f>
        <v>42399.840000000004</v>
      </c>
      <c r="BQ101" s="43">
        <v>52659.839999999997</v>
      </c>
      <c r="BR101" s="41">
        <f t="shared" si="235"/>
        <v>777.42000000000553</v>
      </c>
      <c r="BS101" s="17">
        <f t="shared" si="236"/>
        <v>124867.26</v>
      </c>
      <c r="BT101" s="18">
        <f t="shared" si="236"/>
        <v>127199.52000000002</v>
      </c>
      <c r="BU101" s="18">
        <f t="shared" si="236"/>
        <v>137459.51999999999</v>
      </c>
      <c r="BV101" s="20">
        <f t="shared" si="237"/>
        <v>2332.2600000000239</v>
      </c>
      <c r="BW101" s="17">
        <f t="shared" si="238"/>
        <v>249734.52</v>
      </c>
      <c r="BX101" s="18">
        <f t="shared" si="238"/>
        <v>254399.04000000004</v>
      </c>
      <c r="BY101" s="18">
        <f t="shared" si="238"/>
        <v>264659.03999999998</v>
      </c>
      <c r="BZ101" s="20">
        <f t="shared" si="239"/>
        <v>4664.5200000000477</v>
      </c>
      <c r="CA101" s="17">
        <f>BW101+AI101</f>
        <v>499469.04</v>
      </c>
      <c r="CB101" s="18">
        <f>BX101+AJ101</f>
        <v>506640.53</v>
      </c>
      <c r="CC101" s="18">
        <f>BY101+AK101</f>
        <v>516901.37</v>
      </c>
      <c r="CD101" s="20">
        <f>CB101-CA101</f>
        <v>7171.4900000000489</v>
      </c>
      <c r="CG101" s="93"/>
      <c r="CH101" s="93"/>
      <c r="CJ101" s="91">
        <f t="shared" si="266"/>
        <v>124867.26</v>
      </c>
      <c r="CK101" s="91">
        <f t="shared" si="266"/>
        <v>127199.52000000002</v>
      </c>
      <c r="CL101" s="91">
        <f t="shared" si="266"/>
        <v>137459.51999999999</v>
      </c>
      <c r="CM101" s="91">
        <f t="shared" si="266"/>
        <v>2332.2600000000166</v>
      </c>
      <c r="CN101" s="91">
        <f t="shared" si="268"/>
        <v>499469.04</v>
      </c>
      <c r="CO101" s="91">
        <f t="shared" si="268"/>
        <v>506640.53</v>
      </c>
      <c r="CP101" s="91">
        <f t="shared" si="268"/>
        <v>516901.37</v>
      </c>
      <c r="CQ101" s="91">
        <f t="shared" si="268"/>
        <v>7171.4900000000416</v>
      </c>
    </row>
    <row r="102" spans="1:95" ht="16.5" x14ac:dyDescent="0.3">
      <c r="A102" s="9">
        <v>4.2</v>
      </c>
      <c r="B102" s="39" t="s">
        <v>98</v>
      </c>
      <c r="C102" s="168">
        <f>C103+C104+C105+C106</f>
        <v>23500</v>
      </c>
      <c r="D102" s="25">
        <f>D103+D104+D105+D106</f>
        <v>10657</v>
      </c>
      <c r="E102" s="25">
        <f>E103+E104+E105+E106</f>
        <v>9669.39</v>
      </c>
      <c r="F102" s="170">
        <f t="shared" si="256"/>
        <v>-12843</v>
      </c>
      <c r="G102" s="89">
        <f>G103+G104+G105+G106</f>
        <v>21000</v>
      </c>
      <c r="H102" s="25">
        <f>H103+H104+H105+H106</f>
        <v>9776.82</v>
      </c>
      <c r="I102" s="90">
        <f>I103+I104+I105+I106</f>
        <v>10657</v>
      </c>
      <c r="J102" s="19">
        <f t="shared" si="257"/>
        <v>-11223.18</v>
      </c>
      <c r="K102" s="25">
        <f>K103+K104+K105+K106</f>
        <v>14500</v>
      </c>
      <c r="L102" s="25">
        <f>L103+L104+L105+L106</f>
        <v>8046.17</v>
      </c>
      <c r="M102" s="90">
        <f>M103+M104+M105+M106</f>
        <v>9776.81</v>
      </c>
      <c r="N102" s="30">
        <f t="shared" si="197"/>
        <v>-6453.83</v>
      </c>
      <c r="O102" s="25">
        <f t="shared" ref="O102:P102" si="272">O103+O104+O105+O106</f>
        <v>59000</v>
      </c>
      <c r="P102" s="25">
        <f t="shared" si="272"/>
        <v>28479.99</v>
      </c>
      <c r="Q102" s="25">
        <f>Q103+Q104+Q105+Q106</f>
        <v>30103.200000000001</v>
      </c>
      <c r="R102" s="30">
        <f t="shared" si="260"/>
        <v>-30520.01</v>
      </c>
      <c r="S102" s="25">
        <f>S103+S104+S105+S106</f>
        <v>11000</v>
      </c>
      <c r="T102" s="25">
        <f>T103+T104+T105+T106</f>
        <v>6639.0999999999995</v>
      </c>
      <c r="U102" s="90">
        <f>U103+U104+U105+U106</f>
        <v>8046.17</v>
      </c>
      <c r="V102" s="30">
        <f t="shared" si="261"/>
        <v>-4360.9000000000005</v>
      </c>
      <c r="W102" s="25">
        <f>W103+W104+W105+W106</f>
        <v>7000</v>
      </c>
      <c r="X102" s="25">
        <f>X103+X104+X105+X106</f>
        <v>3286.46</v>
      </c>
      <c r="Y102" s="25">
        <f>Y103+Y104+Y105+Y106</f>
        <v>6639.0999999999995</v>
      </c>
      <c r="Z102" s="31">
        <f t="shared" si="224"/>
        <v>-3713.54</v>
      </c>
      <c r="AA102" s="25">
        <f>AA103+AA104+AA105+AA106</f>
        <v>7500</v>
      </c>
      <c r="AB102" s="25">
        <f>AB103+AB104+AB105+AB106</f>
        <v>4663.13</v>
      </c>
      <c r="AC102" s="90">
        <f>AC103+AC104+AC105+AC106</f>
        <v>3286.46</v>
      </c>
      <c r="AD102" s="30">
        <f t="shared" si="225"/>
        <v>-2836.87</v>
      </c>
      <c r="AE102" s="25">
        <f>AE103+AE104+AE105+AE106</f>
        <v>25500</v>
      </c>
      <c r="AF102" s="25">
        <f>AF103+AF104+AF105+AF106</f>
        <v>14588.69</v>
      </c>
      <c r="AG102" s="25">
        <f>AG103+AG104+AG105+AG106</f>
        <v>17971.730000000003</v>
      </c>
      <c r="AH102" s="19">
        <f t="shared" si="212"/>
        <v>-10911.31</v>
      </c>
      <c r="AI102" s="25">
        <f>AI103+AI104+AI105+AI106</f>
        <v>84500</v>
      </c>
      <c r="AJ102" s="25">
        <f>AJ103+AJ104+AJ105+AJ106</f>
        <v>43068.68</v>
      </c>
      <c r="AK102" s="25">
        <f>AK103+AK104+AK105+AK106</f>
        <v>48074.93</v>
      </c>
      <c r="AL102" s="30">
        <f t="shared" si="179"/>
        <v>-41431.32</v>
      </c>
      <c r="AM102" s="25">
        <f>AM103+AM104+AM105+AM106</f>
        <v>8000</v>
      </c>
      <c r="AN102" s="25">
        <f>AN103+AN104+AN105+AN106</f>
        <v>7255.73</v>
      </c>
      <c r="AO102" s="25">
        <f>AO103+AO104+AO105+AO106</f>
        <v>8594.25</v>
      </c>
      <c r="AP102" s="32">
        <f t="shared" si="226"/>
        <v>-744.27000000000044</v>
      </c>
      <c r="AQ102" s="25">
        <f>AQ103+AQ104+AQ105+AQ106</f>
        <v>8500</v>
      </c>
      <c r="AR102" s="90">
        <f>AR103+AR104+AR105+AR106</f>
        <v>4280.8099999999995</v>
      </c>
      <c r="AS102" s="90">
        <f>AS103+AS104+AS105+AS106</f>
        <v>3933.99</v>
      </c>
      <c r="AT102" s="32">
        <f t="shared" si="227"/>
        <v>-4219.1900000000005</v>
      </c>
      <c r="AU102" s="25">
        <f>AU103+AU104+AU105+AU106</f>
        <v>8500</v>
      </c>
      <c r="AV102" s="25">
        <f>AV103+AV104+AV105+AV106</f>
        <v>10061.92</v>
      </c>
      <c r="AW102" s="25">
        <f>AW103+AW104+AW105+AW106</f>
        <v>9630.2000000000007</v>
      </c>
      <c r="AX102" s="32">
        <f t="shared" si="228"/>
        <v>1561.92</v>
      </c>
      <c r="AY102" s="25">
        <f>AY103+AY104+AY105+AY106</f>
        <v>25000</v>
      </c>
      <c r="AZ102" s="25">
        <f>AZ103+AZ104+AZ105+AZ106</f>
        <v>21598.46</v>
      </c>
      <c r="BA102" s="25">
        <f>BA103+BA104+BA105+BA106</f>
        <v>22158.440000000002</v>
      </c>
      <c r="BB102" s="30">
        <f t="shared" si="230"/>
        <v>-3401.5400000000009</v>
      </c>
      <c r="BC102" s="168">
        <f>BC103+BC104+BC105+BC106</f>
        <v>109500</v>
      </c>
      <c r="BD102" s="25">
        <f>BD103+BD104+BD105+BD106</f>
        <v>64667.14</v>
      </c>
      <c r="BE102" s="25">
        <f>BE103+BE104+BE105+BE106</f>
        <v>70233.37000000001</v>
      </c>
      <c r="BF102" s="170">
        <f t="shared" si="232"/>
        <v>-44832.86</v>
      </c>
      <c r="BG102" s="89">
        <f>BG103+BG104+BG105+BG106</f>
        <v>17500</v>
      </c>
      <c r="BH102" s="25">
        <f>BH103+BH104+BH105+BH106</f>
        <v>7218.21</v>
      </c>
      <c r="BI102" s="90">
        <f>BI103+BI104+BI105+BI106</f>
        <v>4103.1499999999996</v>
      </c>
      <c r="BJ102" s="27">
        <f t="shared" si="233"/>
        <v>-10281.790000000001</v>
      </c>
      <c r="BK102" s="90">
        <f>BK103+BK104+BK105+BK106</f>
        <v>22500</v>
      </c>
      <c r="BL102" s="90">
        <f>BL103+BL104+BL105+BL106</f>
        <v>10828.170000000002</v>
      </c>
      <c r="BM102" s="90">
        <f>BM103+BM104+BM105+BM106</f>
        <v>6896.67</v>
      </c>
      <c r="BN102" s="27">
        <f t="shared" si="234"/>
        <v>-11671.829999999998</v>
      </c>
      <c r="BO102" s="90">
        <f>BO103+BO104+BO105+BO106</f>
        <v>22500</v>
      </c>
      <c r="BP102" s="90">
        <f>BP103+BP104+BP105+BP106</f>
        <v>13890.57</v>
      </c>
      <c r="BQ102" s="90">
        <f>BQ103+BQ104+BQ105+BQ106</f>
        <v>11792.79</v>
      </c>
      <c r="BR102" s="27">
        <f t="shared" si="235"/>
        <v>-8609.43</v>
      </c>
      <c r="BS102" s="25">
        <f>BS103+BS104+BS105+BS106</f>
        <v>62500</v>
      </c>
      <c r="BT102" s="25">
        <f>BT103+BT104+BT105+BT106</f>
        <v>31936.95</v>
      </c>
      <c r="BU102" s="25">
        <f>BU103+BU104+BU105+BU106</f>
        <v>22792.609999999997</v>
      </c>
      <c r="BV102" s="20">
        <f t="shared" si="237"/>
        <v>-30563.05</v>
      </c>
      <c r="BW102" s="25">
        <f>BW103+BW104+BW105+BW106</f>
        <v>87500</v>
      </c>
      <c r="BX102" s="25">
        <f>BX103+BX104+BX105+BX106</f>
        <v>53535.409999999996</v>
      </c>
      <c r="BY102" s="25">
        <f>BY103+BY104+BY105+BY106</f>
        <v>44951.049999999996</v>
      </c>
      <c r="BZ102" s="20">
        <f t="shared" si="239"/>
        <v>-33964.590000000004</v>
      </c>
      <c r="CA102" s="25">
        <f>CA103+CA104+CA105+CA106</f>
        <v>172000</v>
      </c>
      <c r="CB102" s="25">
        <f t="shared" ref="CB102:CC102" si="273">CB103+CB104+CB105+CB106</f>
        <v>96604.09</v>
      </c>
      <c r="CC102" s="25">
        <f t="shared" si="273"/>
        <v>93025.979999999981</v>
      </c>
      <c r="CD102" s="32">
        <f t="shared" si="271"/>
        <v>-75395.91</v>
      </c>
      <c r="CG102" s="93"/>
      <c r="CH102" s="93"/>
      <c r="CJ102" s="209">
        <f>SUM(CJ103:CJ106)</f>
        <v>62500</v>
      </c>
      <c r="CK102" s="209">
        <f>SUM(CK103:CK106)</f>
        <v>31936.95</v>
      </c>
      <c r="CL102" s="209">
        <f>SUM(CL103:CL106)</f>
        <v>22792.609999999997</v>
      </c>
      <c r="CM102" s="209">
        <f>SUM(CM103:CM106)</f>
        <v>-31849.21</v>
      </c>
      <c r="CN102" s="209">
        <f t="shared" si="268"/>
        <v>172000</v>
      </c>
      <c r="CO102" s="209">
        <f t="shared" si="268"/>
        <v>96604.09</v>
      </c>
      <c r="CP102" s="209">
        <f t="shared" si="268"/>
        <v>93025.98000000001</v>
      </c>
      <c r="CQ102" s="209">
        <f t="shared" si="268"/>
        <v>-76682.070000000007</v>
      </c>
    </row>
    <row r="103" spans="1:95" ht="16.5" x14ac:dyDescent="0.3">
      <c r="A103" s="9"/>
      <c r="B103" s="28" t="s">
        <v>99</v>
      </c>
      <c r="C103" s="168">
        <v>2500</v>
      </c>
      <c r="D103" s="18"/>
      <c r="E103" s="43"/>
      <c r="F103" s="170">
        <f t="shared" si="256"/>
        <v>-2500</v>
      </c>
      <c r="G103" s="83">
        <v>2500</v>
      </c>
      <c r="H103" s="18"/>
      <c r="I103" s="43"/>
      <c r="J103" s="19">
        <f t="shared" si="257"/>
        <v>-2500</v>
      </c>
      <c r="K103" s="17">
        <v>2500</v>
      </c>
      <c r="L103" s="18"/>
      <c r="M103" s="43"/>
      <c r="N103" s="19">
        <f t="shared" si="197"/>
        <v>-2500</v>
      </c>
      <c r="O103" s="17">
        <f>C103+G103+K103</f>
        <v>7500</v>
      </c>
      <c r="P103" s="43">
        <f t="shared" ref="P103:Q106" si="274">L103+H103+D103</f>
        <v>0</v>
      </c>
      <c r="Q103" s="43">
        <f t="shared" si="274"/>
        <v>0</v>
      </c>
      <c r="R103" s="19">
        <f t="shared" si="260"/>
        <v>-7500</v>
      </c>
      <c r="S103" s="17">
        <v>2500</v>
      </c>
      <c r="T103" s="18"/>
      <c r="U103" s="43"/>
      <c r="V103" s="19">
        <f t="shared" si="261"/>
        <v>-2500</v>
      </c>
      <c r="W103" s="17">
        <v>2500</v>
      </c>
      <c r="X103" s="18"/>
      <c r="Y103" s="37"/>
      <c r="Z103" s="18">
        <f t="shared" si="224"/>
        <v>-2500</v>
      </c>
      <c r="AA103" s="83">
        <v>2500</v>
      </c>
      <c r="AB103" s="18"/>
      <c r="AC103" s="43"/>
      <c r="AD103" s="19">
        <f t="shared" si="225"/>
        <v>-2500</v>
      </c>
      <c r="AE103" s="17">
        <f t="shared" ref="AE103:AG106" si="275">S103+W103+AA103</f>
        <v>7500</v>
      </c>
      <c r="AF103" s="18">
        <f t="shared" si="275"/>
        <v>0</v>
      </c>
      <c r="AG103" s="18">
        <f t="shared" si="275"/>
        <v>0</v>
      </c>
      <c r="AH103" s="19">
        <f t="shared" si="212"/>
        <v>-7500</v>
      </c>
      <c r="AI103" s="17">
        <f t="shared" ref="AI103:AK106" si="276">AE103+O103</f>
        <v>15000</v>
      </c>
      <c r="AJ103" s="18">
        <f t="shared" si="276"/>
        <v>0</v>
      </c>
      <c r="AK103" s="18">
        <f t="shared" si="276"/>
        <v>0</v>
      </c>
      <c r="AL103" s="19">
        <f t="shared" si="179"/>
        <v>-15000</v>
      </c>
      <c r="AM103" s="17">
        <v>2500</v>
      </c>
      <c r="AN103" s="18"/>
      <c r="AO103" s="18"/>
      <c r="AP103" s="20">
        <f t="shared" si="226"/>
        <v>-2500</v>
      </c>
      <c r="AQ103" s="17">
        <v>2500</v>
      </c>
      <c r="AR103" s="43"/>
      <c r="AS103" s="43"/>
      <c r="AT103" s="20">
        <f t="shared" si="227"/>
        <v>-2500</v>
      </c>
      <c r="AU103" s="17">
        <v>2500</v>
      </c>
      <c r="AV103" s="18">
        <v>5280</v>
      </c>
      <c r="AW103" s="43">
        <v>5280</v>
      </c>
      <c r="AX103" s="20">
        <f t="shared" si="228"/>
        <v>2780</v>
      </c>
      <c r="AY103" s="17">
        <f t="shared" ref="AY103:BA106" si="277">AM103+AQ103+AU103</f>
        <v>7500</v>
      </c>
      <c r="AZ103" s="18">
        <f t="shared" si="277"/>
        <v>5280</v>
      </c>
      <c r="BA103" s="18">
        <f t="shared" si="277"/>
        <v>5280</v>
      </c>
      <c r="BB103" s="19">
        <f t="shared" si="230"/>
        <v>-2220</v>
      </c>
      <c r="BC103" s="190">
        <f t="shared" ref="BC103:BE106" si="278">(AI103+AY103)</f>
        <v>22500</v>
      </c>
      <c r="BD103" s="84">
        <f t="shared" si="278"/>
        <v>5280</v>
      </c>
      <c r="BE103" s="84">
        <f t="shared" si="278"/>
        <v>5280</v>
      </c>
      <c r="BF103" s="170">
        <f t="shared" si="232"/>
        <v>-17220</v>
      </c>
      <c r="BG103" s="83">
        <v>2500</v>
      </c>
      <c r="BH103" s="18"/>
      <c r="BI103" s="43"/>
      <c r="BJ103" s="41">
        <f t="shared" si="233"/>
        <v>-2500</v>
      </c>
      <c r="BK103" s="44">
        <v>2500</v>
      </c>
      <c r="BL103" s="43"/>
      <c r="BM103" s="43"/>
      <c r="BN103" s="41">
        <f t="shared" si="234"/>
        <v>-2500</v>
      </c>
      <c r="BO103" s="44">
        <v>2500</v>
      </c>
      <c r="BP103" s="43"/>
      <c r="BQ103" s="43"/>
      <c r="BR103" s="41">
        <f t="shared" si="235"/>
        <v>-2500</v>
      </c>
      <c r="BS103" s="17">
        <f t="shared" ref="BS103:BU106" si="279">BG103+BK103+BO103</f>
        <v>7500</v>
      </c>
      <c r="BT103" s="18">
        <f t="shared" si="279"/>
        <v>0</v>
      </c>
      <c r="BU103" s="18">
        <f t="shared" si="279"/>
        <v>0</v>
      </c>
      <c r="BV103" s="20">
        <f t="shared" si="237"/>
        <v>-7500</v>
      </c>
      <c r="BW103" s="17">
        <f t="shared" ref="BW103:BY106" si="280">BS103+AY103</f>
        <v>15000</v>
      </c>
      <c r="BX103" s="18">
        <f t="shared" si="280"/>
        <v>5280</v>
      </c>
      <c r="BY103" s="18">
        <f t="shared" si="280"/>
        <v>5280</v>
      </c>
      <c r="BZ103" s="20">
        <f t="shared" si="239"/>
        <v>-9720</v>
      </c>
      <c r="CA103" s="17">
        <f t="shared" ref="CA103:CC106" si="281">BW103+AI103</f>
        <v>30000</v>
      </c>
      <c r="CB103" s="18">
        <f t="shared" si="281"/>
        <v>5280</v>
      </c>
      <c r="CC103" s="18">
        <f t="shared" si="281"/>
        <v>5280</v>
      </c>
      <c r="CD103" s="20">
        <f t="shared" si="271"/>
        <v>-24720</v>
      </c>
      <c r="CG103" s="93"/>
      <c r="CH103" s="93"/>
      <c r="CJ103" s="91">
        <f t="shared" ref="CJ103:CM107" si="282">BG103+BK103+BO103</f>
        <v>7500</v>
      </c>
      <c r="CK103" s="91">
        <f t="shared" si="282"/>
        <v>0</v>
      </c>
      <c r="CL103" s="91">
        <f t="shared" si="282"/>
        <v>0</v>
      </c>
      <c r="CM103" s="91">
        <f t="shared" si="282"/>
        <v>-7500</v>
      </c>
      <c r="CN103" s="91">
        <f t="shared" si="268"/>
        <v>30000</v>
      </c>
      <c r="CO103" s="91">
        <f t="shared" si="268"/>
        <v>5280</v>
      </c>
      <c r="CP103" s="91">
        <f t="shared" si="268"/>
        <v>5280</v>
      </c>
      <c r="CQ103" s="91">
        <f t="shared" si="268"/>
        <v>-24720</v>
      </c>
    </row>
    <row r="104" spans="1:95" ht="16.5" x14ac:dyDescent="0.3">
      <c r="A104" s="9"/>
      <c r="B104" s="28" t="s">
        <v>100</v>
      </c>
      <c r="C104" s="168">
        <v>11000</v>
      </c>
      <c r="D104" s="18">
        <f>683.43+7344.8</f>
        <v>8028.2300000000005</v>
      </c>
      <c r="E104" s="43">
        <v>7353.41</v>
      </c>
      <c r="F104" s="170">
        <f t="shared" si="256"/>
        <v>-2971.7699999999995</v>
      </c>
      <c r="G104" s="83">
        <v>8500</v>
      </c>
      <c r="H104" s="18">
        <f>6799.55+639.41</f>
        <v>7438.96</v>
      </c>
      <c r="I104" s="43">
        <v>8028.23</v>
      </c>
      <c r="J104" s="19">
        <f t="shared" si="257"/>
        <v>-1061.04</v>
      </c>
      <c r="K104" s="17">
        <v>8000</v>
      </c>
      <c r="L104" s="18">
        <f>4999.21+683.43</f>
        <v>5682.64</v>
      </c>
      <c r="M104" s="43">
        <v>7438.95</v>
      </c>
      <c r="N104" s="19">
        <f t="shared" si="197"/>
        <v>-2317.3599999999997</v>
      </c>
      <c r="O104" s="17">
        <f>C104+G104+K104</f>
        <v>27500</v>
      </c>
      <c r="P104" s="43">
        <f t="shared" si="274"/>
        <v>21149.83</v>
      </c>
      <c r="Q104" s="43">
        <f t="shared" si="274"/>
        <v>22820.59</v>
      </c>
      <c r="R104" s="19">
        <f t="shared" si="260"/>
        <v>-6350.1699999999983</v>
      </c>
      <c r="S104" s="17">
        <v>5000</v>
      </c>
      <c r="T104" s="18">
        <f>3851.29+662.36</f>
        <v>4513.6499999999996</v>
      </c>
      <c r="U104" s="43">
        <v>5682.64</v>
      </c>
      <c r="V104" s="19">
        <f t="shared" si="261"/>
        <v>-486.35000000000036</v>
      </c>
      <c r="W104" s="17">
        <v>1000</v>
      </c>
      <c r="X104" s="18">
        <v>683.43</v>
      </c>
      <c r="Y104" s="37">
        <v>4513.6499999999996</v>
      </c>
      <c r="Z104" s="18">
        <f t="shared" si="224"/>
        <v>-316.57000000000005</v>
      </c>
      <c r="AA104" s="83">
        <v>1000</v>
      </c>
      <c r="AB104" s="18">
        <v>618.34</v>
      </c>
      <c r="AC104" s="43">
        <v>683.43</v>
      </c>
      <c r="AD104" s="19">
        <f t="shared" si="225"/>
        <v>-381.65999999999997</v>
      </c>
      <c r="AE104" s="17">
        <f t="shared" si="275"/>
        <v>7000</v>
      </c>
      <c r="AF104" s="18">
        <f t="shared" si="275"/>
        <v>5815.42</v>
      </c>
      <c r="AG104" s="18">
        <f t="shared" si="275"/>
        <v>10879.720000000001</v>
      </c>
      <c r="AH104" s="19">
        <f t="shared" si="212"/>
        <v>-1184.58</v>
      </c>
      <c r="AI104" s="17">
        <f t="shared" si="276"/>
        <v>34500</v>
      </c>
      <c r="AJ104" s="18">
        <f t="shared" si="276"/>
        <v>26965.25</v>
      </c>
      <c r="AK104" s="18">
        <f t="shared" si="276"/>
        <v>33700.31</v>
      </c>
      <c r="AL104" s="19">
        <f t="shared" si="179"/>
        <v>-7534.75</v>
      </c>
      <c r="AM104" s="17">
        <v>500</v>
      </c>
      <c r="AN104" s="18">
        <v>429.64</v>
      </c>
      <c r="AO104" s="18">
        <v>618.34</v>
      </c>
      <c r="AP104" s="20">
        <f t="shared" si="226"/>
        <v>-70.360000000000014</v>
      </c>
      <c r="AQ104" s="17">
        <v>1000</v>
      </c>
      <c r="AR104" s="43">
        <v>700.36</v>
      </c>
      <c r="AS104" s="43">
        <v>429.64</v>
      </c>
      <c r="AT104" s="20">
        <f t="shared" si="227"/>
        <v>-299.64</v>
      </c>
      <c r="AU104" s="17">
        <v>1000</v>
      </c>
      <c r="AV104" s="18">
        <v>678.77</v>
      </c>
      <c r="AW104" s="43">
        <v>1379.13</v>
      </c>
      <c r="AX104" s="20">
        <f t="shared" si="228"/>
        <v>-321.23</v>
      </c>
      <c r="AY104" s="17">
        <f t="shared" si="277"/>
        <v>2500</v>
      </c>
      <c r="AZ104" s="18">
        <f t="shared" si="277"/>
        <v>1808.77</v>
      </c>
      <c r="BA104" s="18">
        <f t="shared" si="277"/>
        <v>2427.11</v>
      </c>
      <c r="BB104" s="19">
        <f t="shared" si="230"/>
        <v>-691.23</v>
      </c>
      <c r="BC104" s="190">
        <f t="shared" si="278"/>
        <v>37000</v>
      </c>
      <c r="BD104" s="84">
        <f t="shared" si="278"/>
        <v>28774.02</v>
      </c>
      <c r="BE104" s="84">
        <f t="shared" si="278"/>
        <v>36127.42</v>
      </c>
      <c r="BF104" s="170">
        <f t="shared" si="232"/>
        <v>-8225.98</v>
      </c>
      <c r="BG104" s="83">
        <v>5000</v>
      </c>
      <c r="BH104" s="18">
        <f>700.36+1976.52</f>
        <v>2676.88</v>
      </c>
      <c r="BI104" s="43"/>
      <c r="BJ104" s="41">
        <f t="shared" si="233"/>
        <v>-2323.12</v>
      </c>
      <c r="BK104" s="44">
        <v>10000</v>
      </c>
      <c r="BL104" s="43">
        <f>6363.08+678.77</f>
        <v>7041.85</v>
      </c>
      <c r="BM104" s="43">
        <v>2676.88</v>
      </c>
      <c r="BN104" s="41">
        <f t="shared" si="234"/>
        <v>-2958.1499999999996</v>
      </c>
      <c r="BO104" s="44">
        <v>10000</v>
      </c>
      <c r="BP104" s="43">
        <f>700.36+8950.49</f>
        <v>9650.85</v>
      </c>
      <c r="BQ104" s="43">
        <v>7041.85</v>
      </c>
      <c r="BR104" s="41">
        <f t="shared" si="235"/>
        <v>-349.14999999999964</v>
      </c>
      <c r="BS104" s="17">
        <f t="shared" si="279"/>
        <v>25000</v>
      </c>
      <c r="BT104" s="18">
        <f t="shared" si="279"/>
        <v>19369.580000000002</v>
      </c>
      <c r="BU104" s="18">
        <f t="shared" si="279"/>
        <v>9718.73</v>
      </c>
      <c r="BV104" s="20">
        <f t="shared" si="237"/>
        <v>-5630.4199999999983</v>
      </c>
      <c r="BW104" s="17">
        <f t="shared" si="280"/>
        <v>27500</v>
      </c>
      <c r="BX104" s="18">
        <f t="shared" si="280"/>
        <v>21178.350000000002</v>
      </c>
      <c r="BY104" s="18">
        <f t="shared" si="280"/>
        <v>12145.84</v>
      </c>
      <c r="BZ104" s="20">
        <f t="shared" si="239"/>
        <v>-6321.6499999999978</v>
      </c>
      <c r="CA104" s="17">
        <f t="shared" si="281"/>
        <v>62000</v>
      </c>
      <c r="CB104" s="18">
        <f t="shared" si="281"/>
        <v>48143.600000000006</v>
      </c>
      <c r="CC104" s="18">
        <f t="shared" si="281"/>
        <v>45846.149999999994</v>
      </c>
      <c r="CD104" s="20">
        <f t="shared" si="271"/>
        <v>-13856.399999999994</v>
      </c>
      <c r="CG104" s="93"/>
      <c r="CH104" s="93"/>
      <c r="CJ104" s="91">
        <f t="shared" si="282"/>
        <v>25000</v>
      </c>
      <c r="CK104" s="91">
        <f t="shared" si="282"/>
        <v>19369.580000000002</v>
      </c>
      <c r="CL104" s="91">
        <f t="shared" si="282"/>
        <v>9718.73</v>
      </c>
      <c r="CM104" s="91">
        <f t="shared" si="282"/>
        <v>-5630.4199999999992</v>
      </c>
      <c r="CN104" s="91">
        <f t="shared" si="268"/>
        <v>62000</v>
      </c>
      <c r="CO104" s="91">
        <f t="shared" si="268"/>
        <v>48143.600000000006</v>
      </c>
      <c r="CP104" s="91">
        <f t="shared" si="268"/>
        <v>45846.149999999994</v>
      </c>
      <c r="CQ104" s="91">
        <f t="shared" si="268"/>
        <v>-13856.399999999998</v>
      </c>
    </row>
    <row r="105" spans="1:95" ht="16.5" x14ac:dyDescent="0.3">
      <c r="A105" s="9"/>
      <c r="B105" s="28" t="s">
        <v>101</v>
      </c>
      <c r="C105" s="168">
        <v>10000</v>
      </c>
      <c r="D105" s="18">
        <v>2628.77</v>
      </c>
      <c r="E105" s="43">
        <v>2315.98</v>
      </c>
      <c r="F105" s="170">
        <f t="shared" si="256"/>
        <v>-7371.23</v>
      </c>
      <c r="G105" s="83">
        <v>10000</v>
      </c>
      <c r="H105" s="43">
        <v>2337.86</v>
      </c>
      <c r="I105" s="43">
        <v>2628.77</v>
      </c>
      <c r="J105" s="19">
        <f t="shared" si="257"/>
        <v>-7662.1399999999994</v>
      </c>
      <c r="K105" s="17">
        <v>4000</v>
      </c>
      <c r="L105" s="43">
        <v>2363.5300000000002</v>
      </c>
      <c r="M105" s="43">
        <v>2337.86</v>
      </c>
      <c r="N105" s="19">
        <f t="shared" si="197"/>
        <v>-1636.4699999999998</v>
      </c>
      <c r="O105" s="17">
        <f>C105+G105+K105</f>
        <v>24000</v>
      </c>
      <c r="P105" s="43">
        <f t="shared" si="274"/>
        <v>7330.16</v>
      </c>
      <c r="Q105" s="43">
        <f t="shared" si="274"/>
        <v>7282.6100000000006</v>
      </c>
      <c r="R105" s="19">
        <f t="shared" si="260"/>
        <v>-16669.84</v>
      </c>
      <c r="S105" s="17">
        <v>3500</v>
      </c>
      <c r="T105" s="18">
        <v>2125.4499999999998</v>
      </c>
      <c r="U105" s="43">
        <v>2363.5300000000002</v>
      </c>
      <c r="V105" s="19">
        <f t="shared" si="261"/>
        <v>-1374.5500000000002</v>
      </c>
      <c r="W105" s="17">
        <v>3500</v>
      </c>
      <c r="X105" s="18">
        <v>2603.0300000000002</v>
      </c>
      <c r="Y105" s="37">
        <v>2125.4499999999998</v>
      </c>
      <c r="Z105" s="18">
        <f t="shared" si="224"/>
        <v>-896.9699999999998</v>
      </c>
      <c r="AA105" s="83">
        <v>4000</v>
      </c>
      <c r="AB105" s="18">
        <v>4044.79</v>
      </c>
      <c r="AC105" s="43">
        <v>2603.0300000000002</v>
      </c>
      <c r="AD105" s="19">
        <f t="shared" si="225"/>
        <v>44.789999999999964</v>
      </c>
      <c r="AE105" s="17">
        <f t="shared" si="275"/>
        <v>11000</v>
      </c>
      <c r="AF105" s="18">
        <f t="shared" si="275"/>
        <v>8773.27</v>
      </c>
      <c r="AG105" s="18">
        <f t="shared" si="275"/>
        <v>7092.01</v>
      </c>
      <c r="AH105" s="19">
        <f t="shared" si="212"/>
        <v>-2226.7299999999996</v>
      </c>
      <c r="AI105" s="17">
        <f t="shared" si="276"/>
        <v>35000</v>
      </c>
      <c r="AJ105" s="18">
        <f t="shared" si="276"/>
        <v>16103.43</v>
      </c>
      <c r="AK105" s="18">
        <f t="shared" si="276"/>
        <v>14374.62</v>
      </c>
      <c r="AL105" s="19">
        <f t="shared" si="179"/>
        <v>-18896.57</v>
      </c>
      <c r="AM105" s="17">
        <v>5000</v>
      </c>
      <c r="AN105" s="18">
        <v>3504.35</v>
      </c>
      <c r="AO105" s="18">
        <v>4044.79</v>
      </c>
      <c r="AP105" s="20">
        <f t="shared" si="226"/>
        <v>-1495.65</v>
      </c>
      <c r="AQ105" s="17">
        <v>5000</v>
      </c>
      <c r="AR105" s="43">
        <v>3580.45</v>
      </c>
      <c r="AS105" s="43">
        <v>3504.35</v>
      </c>
      <c r="AT105" s="20">
        <f t="shared" si="227"/>
        <v>-1419.5500000000002</v>
      </c>
      <c r="AU105" s="17">
        <v>5000</v>
      </c>
      <c r="AV105" s="18">
        <v>4103.1499999999996</v>
      </c>
      <c r="AW105" s="43">
        <v>3580.45</v>
      </c>
      <c r="AX105" s="20">
        <f t="shared" si="228"/>
        <v>-896.85000000000036</v>
      </c>
      <c r="AY105" s="17">
        <f t="shared" si="277"/>
        <v>15000</v>
      </c>
      <c r="AZ105" s="18">
        <f t="shared" si="277"/>
        <v>11187.949999999999</v>
      </c>
      <c r="BA105" s="18">
        <f t="shared" si="277"/>
        <v>11129.59</v>
      </c>
      <c r="BB105" s="19">
        <f t="shared" si="230"/>
        <v>-3812.0500000000011</v>
      </c>
      <c r="BC105" s="190">
        <f t="shared" si="278"/>
        <v>50000</v>
      </c>
      <c r="BD105" s="84">
        <f t="shared" si="278"/>
        <v>27291.379999999997</v>
      </c>
      <c r="BE105" s="84">
        <f t="shared" si="278"/>
        <v>25504.21</v>
      </c>
      <c r="BF105" s="170">
        <f t="shared" si="232"/>
        <v>-22708.620000000003</v>
      </c>
      <c r="BG105" s="83">
        <v>10000</v>
      </c>
      <c r="BH105" s="18">
        <v>4219.79</v>
      </c>
      <c r="BI105" s="43">
        <v>4103.1499999999996</v>
      </c>
      <c r="BJ105" s="41">
        <f t="shared" si="233"/>
        <v>-5780.21</v>
      </c>
      <c r="BK105" s="44">
        <v>10000</v>
      </c>
      <c r="BL105" s="43">
        <v>3464.78</v>
      </c>
      <c r="BM105" s="43">
        <v>4219.79</v>
      </c>
      <c r="BN105" s="41">
        <f t="shared" si="234"/>
        <v>-6535.2199999999993</v>
      </c>
      <c r="BO105" s="44">
        <v>10000</v>
      </c>
      <c r="BP105" s="43">
        <v>3596.64</v>
      </c>
      <c r="BQ105" s="43">
        <v>3464.78</v>
      </c>
      <c r="BR105" s="41">
        <f t="shared" si="235"/>
        <v>-6403.3600000000006</v>
      </c>
      <c r="BS105" s="17">
        <f t="shared" si="279"/>
        <v>30000</v>
      </c>
      <c r="BT105" s="18">
        <f t="shared" si="279"/>
        <v>11281.21</v>
      </c>
      <c r="BU105" s="18">
        <f t="shared" si="279"/>
        <v>11787.72</v>
      </c>
      <c r="BV105" s="20">
        <f t="shared" si="237"/>
        <v>-18718.79</v>
      </c>
      <c r="BW105" s="17">
        <f t="shared" si="280"/>
        <v>45000</v>
      </c>
      <c r="BX105" s="18">
        <f t="shared" si="280"/>
        <v>22469.159999999996</v>
      </c>
      <c r="BY105" s="18">
        <f t="shared" si="280"/>
        <v>22917.309999999998</v>
      </c>
      <c r="BZ105" s="20">
        <f t="shared" si="239"/>
        <v>-22530.840000000004</v>
      </c>
      <c r="CA105" s="17">
        <f t="shared" si="281"/>
        <v>80000</v>
      </c>
      <c r="CB105" s="18">
        <f t="shared" si="281"/>
        <v>38572.589999999997</v>
      </c>
      <c r="CC105" s="18">
        <f t="shared" si="281"/>
        <v>37291.93</v>
      </c>
      <c r="CD105" s="20">
        <f t="shared" si="271"/>
        <v>-41427.410000000003</v>
      </c>
      <c r="CG105" s="93"/>
      <c r="CH105" s="93"/>
      <c r="CJ105" s="91">
        <f t="shared" si="282"/>
        <v>30000</v>
      </c>
      <c r="CK105" s="91">
        <f t="shared" si="282"/>
        <v>11281.21</v>
      </c>
      <c r="CL105" s="91">
        <f t="shared" si="282"/>
        <v>11787.72</v>
      </c>
      <c r="CM105" s="91">
        <f t="shared" si="282"/>
        <v>-18718.79</v>
      </c>
      <c r="CN105" s="91">
        <f t="shared" si="268"/>
        <v>80000</v>
      </c>
      <c r="CO105" s="91">
        <f t="shared" si="268"/>
        <v>38572.589999999997</v>
      </c>
      <c r="CP105" s="91">
        <f t="shared" si="268"/>
        <v>37291.93</v>
      </c>
      <c r="CQ105" s="91">
        <f t="shared" si="268"/>
        <v>-41427.410000000003</v>
      </c>
    </row>
    <row r="106" spans="1:95" ht="16.5" x14ac:dyDescent="0.3">
      <c r="A106" s="9"/>
      <c r="B106" s="28" t="s">
        <v>159</v>
      </c>
      <c r="C106" s="168"/>
      <c r="D106" s="18"/>
      <c r="E106" s="43"/>
      <c r="F106" s="170">
        <f t="shared" si="256"/>
        <v>0</v>
      </c>
      <c r="G106" s="83"/>
      <c r="H106" s="43"/>
      <c r="I106" s="43"/>
      <c r="J106" s="19">
        <f t="shared" si="257"/>
        <v>0</v>
      </c>
      <c r="K106" s="17"/>
      <c r="L106" s="43"/>
      <c r="M106" s="43"/>
      <c r="N106" s="19"/>
      <c r="O106" s="17"/>
      <c r="P106" s="43"/>
      <c r="Q106" s="43">
        <f t="shared" si="274"/>
        <v>0</v>
      </c>
      <c r="R106" s="19"/>
      <c r="S106" s="17"/>
      <c r="T106" s="18"/>
      <c r="U106" s="43"/>
      <c r="V106" s="19"/>
      <c r="W106" s="17"/>
      <c r="X106" s="18"/>
      <c r="Y106" s="37"/>
      <c r="Z106" s="18"/>
      <c r="AA106" s="83"/>
      <c r="AB106" s="18"/>
      <c r="AC106" s="43"/>
      <c r="AD106" s="19"/>
      <c r="AE106" s="17"/>
      <c r="AF106" s="18">
        <f t="shared" si="275"/>
        <v>0</v>
      </c>
      <c r="AG106" s="18">
        <f t="shared" si="275"/>
        <v>0</v>
      </c>
      <c r="AH106" s="19"/>
      <c r="AI106" s="17"/>
      <c r="AJ106" s="18">
        <f t="shared" si="276"/>
        <v>0</v>
      </c>
      <c r="AK106" s="18">
        <f t="shared" si="276"/>
        <v>0</v>
      </c>
      <c r="AL106" s="19"/>
      <c r="AM106" s="17"/>
      <c r="AN106" s="18">
        <f>336.07+336.07+1008.2+321.54+321.54+321.54+321.54+321.54+321.54+321.54-609.38</f>
        <v>3321.74</v>
      </c>
      <c r="AO106" s="18">
        <v>3931.12</v>
      </c>
      <c r="AP106" s="20"/>
      <c r="AQ106" s="17"/>
      <c r="AR106" s="43"/>
      <c r="AS106" s="43"/>
      <c r="AT106" s="20"/>
      <c r="AU106" s="17"/>
      <c r="AV106" s="18"/>
      <c r="AW106" s="43">
        <f>-930.92+321.54</f>
        <v>-609.37999999999988</v>
      </c>
      <c r="AX106" s="20"/>
      <c r="AY106" s="17"/>
      <c r="AZ106" s="18">
        <f t="shared" si="277"/>
        <v>3321.74</v>
      </c>
      <c r="BA106" s="18">
        <f t="shared" si="277"/>
        <v>3321.74</v>
      </c>
      <c r="BB106" s="19"/>
      <c r="BC106" s="190"/>
      <c r="BD106" s="84">
        <f t="shared" si="278"/>
        <v>3321.74</v>
      </c>
      <c r="BE106" s="84">
        <f t="shared" si="278"/>
        <v>3321.74</v>
      </c>
      <c r="BF106" s="170"/>
      <c r="BG106" s="83"/>
      <c r="BH106" s="18">
        <v>321.54000000000002</v>
      </c>
      <c r="BI106" s="43"/>
      <c r="BJ106" s="41"/>
      <c r="BK106" s="44"/>
      <c r="BL106" s="43">
        <v>321.54000000000002</v>
      </c>
      <c r="BM106" s="43"/>
      <c r="BN106" s="41"/>
      <c r="BO106" s="44"/>
      <c r="BP106" s="43">
        <f>321.54+321.54</f>
        <v>643.08000000000004</v>
      </c>
      <c r="BQ106" s="43">
        <v>1286.1600000000001</v>
      </c>
      <c r="BR106" s="41"/>
      <c r="BS106" s="17"/>
      <c r="BT106" s="18">
        <f t="shared" si="279"/>
        <v>1286.1600000000001</v>
      </c>
      <c r="BU106" s="18">
        <f t="shared" si="279"/>
        <v>1286.1600000000001</v>
      </c>
      <c r="BV106" s="20"/>
      <c r="BW106" s="17"/>
      <c r="BX106" s="18">
        <f t="shared" si="280"/>
        <v>4607.8999999999996</v>
      </c>
      <c r="BY106" s="18">
        <f t="shared" si="280"/>
        <v>4607.8999999999996</v>
      </c>
      <c r="BZ106" s="20">
        <f t="shared" si="239"/>
        <v>4607.8999999999996</v>
      </c>
      <c r="CA106" s="17"/>
      <c r="CB106" s="18">
        <f t="shared" si="281"/>
        <v>4607.8999999999996</v>
      </c>
      <c r="CC106" s="18">
        <f t="shared" si="281"/>
        <v>4607.8999999999996</v>
      </c>
      <c r="CD106" s="20">
        <f t="shared" si="271"/>
        <v>4607.8999999999996</v>
      </c>
      <c r="CG106" s="93"/>
      <c r="CH106" s="93"/>
      <c r="CJ106" s="91">
        <f t="shared" si="282"/>
        <v>0</v>
      </c>
      <c r="CK106" s="91">
        <f t="shared" si="282"/>
        <v>1286.1600000000001</v>
      </c>
      <c r="CL106" s="91">
        <f t="shared" si="282"/>
        <v>1286.1600000000001</v>
      </c>
      <c r="CM106" s="91">
        <f t="shared" si="282"/>
        <v>0</v>
      </c>
      <c r="CN106" s="91">
        <f t="shared" si="268"/>
        <v>0</v>
      </c>
      <c r="CO106" s="91">
        <f t="shared" si="268"/>
        <v>4607.8999999999996</v>
      </c>
      <c r="CP106" s="91">
        <f t="shared" si="268"/>
        <v>4607.8999999999996</v>
      </c>
      <c r="CQ106" s="91">
        <f t="shared" si="268"/>
        <v>0</v>
      </c>
    </row>
    <row r="107" spans="1:95" ht="19.5" customHeight="1" x14ac:dyDescent="0.3">
      <c r="A107" s="9">
        <v>4.3</v>
      </c>
      <c r="B107" s="39" t="s">
        <v>163</v>
      </c>
      <c r="C107" s="168">
        <v>5000</v>
      </c>
      <c r="D107" s="31"/>
      <c r="E107" s="95"/>
      <c r="F107" s="170">
        <f t="shared" si="256"/>
        <v>-5000</v>
      </c>
      <c r="G107" s="89">
        <v>5000</v>
      </c>
      <c r="H107" s="18"/>
      <c r="I107" s="43"/>
      <c r="J107" s="19">
        <f t="shared" si="257"/>
        <v>-5000</v>
      </c>
      <c r="K107" s="25">
        <v>5000</v>
      </c>
      <c r="L107" s="18"/>
      <c r="M107" s="43"/>
      <c r="N107" s="19">
        <f t="shared" ref="N107:N131" si="283">L107-K107</f>
        <v>-5000</v>
      </c>
      <c r="O107" s="17">
        <f t="shared" ref="O107:O132" si="284">C107+G107+K107</f>
        <v>15000</v>
      </c>
      <c r="P107" s="43">
        <f t="shared" ref="P107:Q131" si="285">L107+H107+D107</f>
        <v>0</v>
      </c>
      <c r="Q107" s="43">
        <f t="shared" si="285"/>
        <v>0</v>
      </c>
      <c r="R107" s="19">
        <f t="shared" ref="R107:R132" si="286">P107-O107</f>
        <v>-15000</v>
      </c>
      <c r="S107" s="17">
        <v>5000</v>
      </c>
      <c r="T107" s="18"/>
      <c r="U107" s="43"/>
      <c r="V107" s="19">
        <f t="shared" ref="V107:V131" si="287">T107-S107</f>
        <v>-5000</v>
      </c>
      <c r="W107" s="25">
        <v>5000</v>
      </c>
      <c r="X107" s="18"/>
      <c r="Y107" s="37"/>
      <c r="Z107" s="18">
        <f t="shared" ref="Z107:Z131" si="288">X107-W107</f>
        <v>-5000</v>
      </c>
      <c r="AA107" s="89">
        <v>5000</v>
      </c>
      <c r="AB107" s="31"/>
      <c r="AC107" s="95"/>
      <c r="AD107" s="19">
        <f t="shared" ref="AD107:AD131" si="289">AB107-AA107</f>
        <v>-5000</v>
      </c>
      <c r="AE107" s="17">
        <f>S107+W107+AA107</f>
        <v>15000</v>
      </c>
      <c r="AF107" s="18">
        <f>T107+X107+AB107</f>
        <v>0</v>
      </c>
      <c r="AG107" s="18">
        <f>U107+Y107+AC107</f>
        <v>0</v>
      </c>
      <c r="AH107" s="19">
        <f t="shared" ref="AH107:AH131" si="290">AF107-AE107</f>
        <v>-15000</v>
      </c>
      <c r="AI107" s="17">
        <f>AE107+O107</f>
        <v>30000</v>
      </c>
      <c r="AJ107" s="18">
        <f>AF107+P107</f>
        <v>0</v>
      </c>
      <c r="AK107" s="18">
        <f>AG107+Q107</f>
        <v>0</v>
      </c>
      <c r="AL107" s="19">
        <f t="shared" ref="AL107:AL131" si="291">AJ107-AI107</f>
        <v>-30000</v>
      </c>
      <c r="AM107" s="25">
        <v>1000</v>
      </c>
      <c r="AN107" s="31"/>
      <c r="AO107" s="31"/>
      <c r="AP107" s="20">
        <f t="shared" ref="AP107:AP129" si="292">AN107-AM107</f>
        <v>-1000</v>
      </c>
      <c r="AQ107" s="25">
        <v>1000</v>
      </c>
      <c r="AR107" s="95"/>
      <c r="AS107" s="95"/>
      <c r="AT107" s="20">
        <f t="shared" ref="AT107:AT131" si="293">AR107-AQ107</f>
        <v>-1000</v>
      </c>
      <c r="AU107" s="25">
        <v>1000</v>
      </c>
      <c r="AV107" s="31"/>
      <c r="AW107" s="95"/>
      <c r="AX107" s="20">
        <f t="shared" ref="AX107:AX131" si="294">AV107-AU107</f>
        <v>-1000</v>
      </c>
      <c r="AY107" s="17">
        <f>AM107+AQ107+AU107</f>
        <v>3000</v>
      </c>
      <c r="AZ107" s="18">
        <f>AN107+AR107+AV107</f>
        <v>0</v>
      </c>
      <c r="BA107" s="18">
        <f>AO107+AS107+AW107</f>
        <v>0</v>
      </c>
      <c r="BB107" s="19">
        <f t="shared" ref="BB107:BB131" si="295">AZ107-AY107</f>
        <v>-3000</v>
      </c>
      <c r="BC107" s="190">
        <f t="shared" ref="BC107:BE131" si="296">(AI107+AY107)</f>
        <v>33000</v>
      </c>
      <c r="BD107" s="84">
        <f t="shared" si="296"/>
        <v>0</v>
      </c>
      <c r="BE107" s="84">
        <f t="shared" si="296"/>
        <v>0</v>
      </c>
      <c r="BF107" s="170">
        <f t="shared" ref="BF107:BF131" si="297">BD107-BC107</f>
        <v>-33000</v>
      </c>
      <c r="BG107" s="89">
        <v>1000</v>
      </c>
      <c r="BH107" s="31"/>
      <c r="BI107" s="95"/>
      <c r="BJ107" s="41">
        <f t="shared" ref="BJ107:BJ131" si="298">BH107-BG107</f>
        <v>-1000</v>
      </c>
      <c r="BK107" s="90">
        <v>1000</v>
      </c>
      <c r="BL107" s="43"/>
      <c r="BM107" s="43"/>
      <c r="BN107" s="27">
        <f t="shared" ref="BN107:BN131" si="299">BL107-BK107</f>
        <v>-1000</v>
      </c>
      <c r="BO107" s="90">
        <v>1000</v>
      </c>
      <c r="BP107" s="95"/>
      <c r="BQ107" s="95"/>
      <c r="BR107" s="41">
        <f t="shared" ref="BR107:BR131" si="300">BP107-BO107</f>
        <v>-1000</v>
      </c>
      <c r="BS107" s="17">
        <f>BG107+BK107+BO107</f>
        <v>3000</v>
      </c>
      <c r="BT107" s="18">
        <f>BH107+BL107+BP107</f>
        <v>0</v>
      </c>
      <c r="BU107" s="18">
        <f>BI107+BM107+BQ107</f>
        <v>0</v>
      </c>
      <c r="BV107" s="20">
        <f t="shared" ref="BV107:BV131" si="301">BT107-BS107</f>
        <v>-3000</v>
      </c>
      <c r="BW107" s="17">
        <f>BS107+AY107</f>
        <v>6000</v>
      </c>
      <c r="BX107" s="18">
        <f>BT107+AZ107</f>
        <v>0</v>
      </c>
      <c r="BY107" s="18">
        <f>BU107+BA107</f>
        <v>0</v>
      </c>
      <c r="BZ107" s="20">
        <f t="shared" si="239"/>
        <v>-6000</v>
      </c>
      <c r="CA107" s="17">
        <f>BW107+AI107</f>
        <v>36000</v>
      </c>
      <c r="CB107" s="18">
        <f>BX107+AJ107</f>
        <v>0</v>
      </c>
      <c r="CC107" s="18">
        <f>BY107+AK107</f>
        <v>0</v>
      </c>
      <c r="CD107" s="20">
        <f t="shared" si="271"/>
        <v>-36000</v>
      </c>
      <c r="CG107" s="93"/>
      <c r="CH107" s="93"/>
      <c r="CJ107" s="91">
        <f t="shared" si="282"/>
        <v>3000</v>
      </c>
      <c r="CK107" s="91">
        <f t="shared" si="282"/>
        <v>0</v>
      </c>
      <c r="CL107" s="91">
        <f t="shared" si="282"/>
        <v>0</v>
      </c>
      <c r="CM107" s="91">
        <f t="shared" si="282"/>
        <v>-3000</v>
      </c>
      <c r="CN107" s="91">
        <f t="shared" si="268"/>
        <v>36000</v>
      </c>
      <c r="CO107" s="91">
        <f t="shared" si="268"/>
        <v>0</v>
      </c>
      <c r="CP107" s="91">
        <f t="shared" si="268"/>
        <v>0</v>
      </c>
      <c r="CQ107" s="91">
        <f t="shared" si="268"/>
        <v>-36000</v>
      </c>
    </row>
    <row r="108" spans="1:95" ht="16.5" x14ac:dyDescent="0.3">
      <c r="A108" s="9">
        <v>5</v>
      </c>
      <c r="B108" s="33" t="s">
        <v>102</v>
      </c>
      <c r="C108" s="168">
        <f>C109+C110+C111+C112+C113+C117+C118+C119+C120+C121+C122+C123+C124+C125+C126+C127+C129+C128</f>
        <v>62166</v>
      </c>
      <c r="D108" s="31">
        <f>D109+D110+D111+D112+D113+D117+D118+D119+D120+D121+D122+D123+D124+D125+D126+D127+D129+D128</f>
        <v>71643.78</v>
      </c>
      <c r="E108" s="95">
        <f>E109+E110+E111+E112+E113+E117+E118+E119+E120+E121+E122+E123+E124+E125+E126+E127+E129+E128</f>
        <v>78296.87999999999</v>
      </c>
      <c r="F108" s="170">
        <f t="shared" si="256"/>
        <v>9477.7799999999988</v>
      </c>
      <c r="G108" s="89">
        <f>G109+G110+G111+G112+G113+G117+G118+G119+G120+G121+G122+G123+G124+G125+G126+G127+G129+G128</f>
        <v>62166</v>
      </c>
      <c r="H108" s="31">
        <f>H109+H110+H111+H112+H113+H117+H118+H119+H120+H121+H122+H123+H124+H125+H126+H127+H129+H128</f>
        <v>84418.5</v>
      </c>
      <c r="I108" s="95">
        <f>I109+I110+I111+I112+I113+I117+I118+I119+I120+I121+I122+I123+I124+I125+I126+I127+I129+I128</f>
        <v>75684.929999999993</v>
      </c>
      <c r="J108" s="19">
        <f t="shared" si="257"/>
        <v>22252.5</v>
      </c>
      <c r="K108" s="31">
        <f>K109+K110+K111+K112+K113+K117+K118+K119+K120+K121+K122+K123+K124+K125+K126+K127+K129+K128</f>
        <v>62166</v>
      </c>
      <c r="L108" s="31">
        <f>L109+L110+L111+L112+L113+L117+L118+L119+L120+L121+L122+L123+L124+L125+L126+L127+L129+L128</f>
        <v>54974.259999999995</v>
      </c>
      <c r="M108" s="95">
        <f>M109+M110+M111+M112+M113+M117+M118+M119+M120+M121+M122+M123+M124+M125+M126+M127+M129+M128</f>
        <v>57400.2</v>
      </c>
      <c r="N108" s="30">
        <f t="shared" si="283"/>
        <v>-7191.7400000000052</v>
      </c>
      <c r="O108" s="95">
        <f t="shared" ref="O108" si="302">K108+G108+C108</f>
        <v>186498</v>
      </c>
      <c r="P108" s="95">
        <f t="shared" si="285"/>
        <v>211036.54</v>
      </c>
      <c r="Q108" s="95">
        <f t="shared" si="285"/>
        <v>211382.01</v>
      </c>
      <c r="R108" s="30">
        <f t="shared" si="286"/>
        <v>24538.540000000008</v>
      </c>
      <c r="S108" s="31">
        <f>S109+S110+S111+S112+S113+S117+S118+S119+S120+S121+S122+S123+S124+S125+S126+S127+S129+S128</f>
        <v>52166</v>
      </c>
      <c r="T108" s="31">
        <f>T109+T110+T111+T112+T113+T117+T118+T119+T120+T121+T122+T123+T124+T125+T126+T127+T129+T128</f>
        <v>56473.67</v>
      </c>
      <c r="U108" s="95">
        <f>U109+U110+U111+U112+U113+U117+U118+U119+U120+U121+U122+U123+U124+U125+U126+U127+U129+U128</f>
        <v>40767.729999999996</v>
      </c>
      <c r="V108" s="30">
        <f t="shared" si="287"/>
        <v>4307.6699999999983</v>
      </c>
      <c r="W108" s="31">
        <f>W109+W110+W111+W112+W113+W117+W118+W119+W120+W121+W122+W123+W124+W125+W126+W127+W129+W128</f>
        <v>62166</v>
      </c>
      <c r="X108" s="31">
        <f>X109+X110+X111+X112+X113+X117+X118+X119+X120+X121+X122+X123+X124+X125+X126+X127+X129+X128</f>
        <v>135204</v>
      </c>
      <c r="Y108" s="40">
        <f>Y109+Y110+Y111+Y112+Y113+Y117+Y118+Y119+Y120+Y121+Y122+Y123+Y124+Y125+Y126+Y127+Y129+Y128</f>
        <v>158343.6</v>
      </c>
      <c r="Z108" s="31">
        <f t="shared" si="288"/>
        <v>73038</v>
      </c>
      <c r="AA108" s="89">
        <f>AA109+AA110+AA111+AA112+AA113+AA117+AA118+AA119+AA120+AA121+AA122+AA123+AA124+AA125+AA126+AA127+AA129+AA128</f>
        <v>62166</v>
      </c>
      <c r="AB108" s="31">
        <f>AB109+AB110+AB111+AB112+AB113+AB117+AB118+AB119+AB120+AB121+AB122+AB123+AB124+AB125+AB126+AB127+AB129+AB128</f>
        <v>50919.740000000005</v>
      </c>
      <c r="AC108" s="95">
        <f>AC109+AC110+AC111+AC112+AC113+AC117+AC118+AC119+AC120+AC121+AC122+AC123+AC124+AC125+AC126+AC127+AC129+AC128</f>
        <v>43917.62</v>
      </c>
      <c r="AD108" s="30">
        <f t="shared" si="289"/>
        <v>-11246.259999999995</v>
      </c>
      <c r="AE108" s="25">
        <f>AE109+AE110+AE111+AE112+AE113+AE117+AE118+AE119+AE120+AE121+AE122+AE123+AE124+AE125+AE126+AE127+AE129+AE128</f>
        <v>176498</v>
      </c>
      <c r="AF108" s="31">
        <f>AF109+AF110+AF111+AF112+AF113+AF117+AF118+AF119+AF120+AF121+AF122+AF123+AF124+AF125+AF126+AF127+AF129+AF128</f>
        <v>242597.41000000003</v>
      </c>
      <c r="AG108" s="31">
        <f>AG109+AG110+AG111+AG112+AG113+AG117+AG118+AG119+AG120+AG121+AG122+AG123+AG124+AG125+AG126+AG127+AG129+AG128</f>
        <v>243028.95000000004</v>
      </c>
      <c r="AH108" s="19">
        <f t="shared" si="290"/>
        <v>66099.410000000033</v>
      </c>
      <c r="AI108" s="25">
        <f>AI109+AI110+AI111+AI112+AI113+AI117+AI118+AI119+AI120+AI121+AI122+AI123+AI124+AI125+AI126+AI127+AI129+AI128</f>
        <v>362996</v>
      </c>
      <c r="AJ108" s="31">
        <f>AJ109+AJ110+AJ111+AJ112+AJ113+AJ117+AJ118+AJ119+AJ120+AJ121+AJ122+AJ123+AJ124+AJ125+AJ126+AJ127+AJ129+AJ128</f>
        <v>453633.95</v>
      </c>
      <c r="AK108" s="31">
        <f>AK109+AK110+AK111+AK112+AK113+AK117+AK118+AK119+AK120+AK121+AK122+AK123+AK124+AK125+AK126+AK127+AK129+AK128</f>
        <v>454410.96</v>
      </c>
      <c r="AL108" s="30">
        <f t="shared" si="291"/>
        <v>90637.950000000012</v>
      </c>
      <c r="AM108" s="25">
        <f>AM109+AM110+AM111+AM112+AM113+AM117+AM118+AM119+AM120+AM121+AM122+AM123+AM124+AM125+AM126+AM127+AM128+AM129</f>
        <v>65166</v>
      </c>
      <c r="AN108" s="31">
        <f>AN109+AN110+AN111+AN112+AN113+AN117+AN118+AN119+AN120+AN121+AN122+AN123+AN124+AN125+AN126+AN127+AN129+AN128</f>
        <v>52395.509999999995</v>
      </c>
      <c r="AO108" s="31">
        <f>AO109+AO110+AO111+AO112+AO113+AO117+AO118+AO119+AO120+AO121+AO122+AO123+AO124+AO125+AO126+AO127+AO129+AO128</f>
        <v>50017.979999999996</v>
      </c>
      <c r="AP108" s="32">
        <f t="shared" si="292"/>
        <v>-12770.490000000005</v>
      </c>
      <c r="AQ108" s="25">
        <f>AQ109+AQ110+AQ111+AQ112+AQ113+AQ117+AQ118+AQ119+AQ120+AQ121+AQ122+AQ123+AQ124+AQ125+AQ126+AQ127+AQ129+AQ128</f>
        <v>60166</v>
      </c>
      <c r="AR108" s="95">
        <f>AR109+AR110+AR111+AR112+AR113+AR117+AR118+AR119+AR120+AR121+AR122+AR123+AR124+AR125+AR126+AR127+AR129+AR128</f>
        <v>65743.67</v>
      </c>
      <c r="AS108" s="95">
        <f>AS109+AS110+AS111+AS112+AS113+AS117+AS118+AS119+AS120+AS121+AS122+AS123+AS124+AS125+AS126+AS127+AS129+AS128</f>
        <v>66856.38</v>
      </c>
      <c r="AT108" s="32">
        <f t="shared" si="293"/>
        <v>5577.6699999999983</v>
      </c>
      <c r="AU108" s="25">
        <f>AU109+AU110+AU111+AU112+AU113+AU117+AU118+AU119+AU120+AU121+AU122+AU123+AU124+AU125+AU126+AU127+AU129+AU128</f>
        <v>50166</v>
      </c>
      <c r="AV108" s="31">
        <f>AV109+AV110+AV111+AV112+AV113+AV117+AV118+AV119+AV120+AV121+AV122+AV123+AV124+AV125+AV126+AV127+AV129+AV128</f>
        <v>59414.2</v>
      </c>
      <c r="AW108" s="95">
        <f>AW109+AW110+AW111+AW112+AW113+AW117+AW118+AW119+AW120+AW121+AW122+AW123+AW124+AW125+AW126+AW127+AW129+AW128</f>
        <v>49314.280000000006</v>
      </c>
      <c r="AX108" s="32">
        <f t="shared" si="294"/>
        <v>9248.1999999999971</v>
      </c>
      <c r="AY108" s="25">
        <f>AY109+AY110+AY111+AY112+AY113+AY117+AY118+AY119+AY120+AY121+AY122+AY123+AY124+AY125+AY126+AY127+AY129+AY128</f>
        <v>175498</v>
      </c>
      <c r="AZ108" s="31">
        <f>AZ109+AZ110+AZ111+AZ112+AZ113+AZ117+AZ118+AZ119+AZ120+AZ121+AZ122+AZ123+AZ124+AZ125+AZ126+AZ127+AZ128+AZ129</f>
        <v>177553.38</v>
      </c>
      <c r="BA108" s="31">
        <f>BA109+BA110+BA111+BA112+BA113+BA117+BA118+BA119+BA120+BA121+BA122+BA123+BA124+BA125+BA126+BA127+BA128+BA129</f>
        <v>166188.64000000001</v>
      </c>
      <c r="BB108" s="30">
        <f t="shared" si="295"/>
        <v>2055.3800000000047</v>
      </c>
      <c r="BC108" s="191">
        <f t="shared" si="296"/>
        <v>538494</v>
      </c>
      <c r="BD108" s="96">
        <f t="shared" si="296"/>
        <v>631187.33000000007</v>
      </c>
      <c r="BE108" s="96">
        <f t="shared" si="296"/>
        <v>620599.60000000009</v>
      </c>
      <c r="BF108" s="178">
        <f t="shared" si="297"/>
        <v>92693.330000000075</v>
      </c>
      <c r="BG108" s="89">
        <f>BG109+BG110+BG111+BG112+BG113+BG117+BG118+BG119+BG120+BG121+BG122+BG123+BG124+BG125+BG126+BG127+BG129+BG128</f>
        <v>60166</v>
      </c>
      <c r="BH108" s="25">
        <f>BH109+BH110+BH111+BH112+BH113+BH117+BH118+BH119+BH120+BH121+BH122+BH123+BH124+BH125+BH126+BH127+BH129+BH128</f>
        <v>30606.39</v>
      </c>
      <c r="BI108" s="95">
        <f>BI109+BI110+BI112+BI113+BI115+BI116+BI117+BI118+BI119+BI120+BI121+BI122+BI124+BI125+BI126+BI127+BI128+BI129</f>
        <v>29980.230000000003</v>
      </c>
      <c r="BJ108" s="27">
        <f t="shared" si="298"/>
        <v>-29559.61</v>
      </c>
      <c r="BK108" s="90">
        <f>BK109+BK110+BK111+BK112+BK113+BK117+BK118+BK119+BK120+BK121+BK122+BK123+BK124+BK125+BK126+BK127+BK129+BK128</f>
        <v>60166</v>
      </c>
      <c r="BL108" s="95">
        <f>BL109+BL110+BL112+BL113+BL115+BL116+BL117+BL118+BL119+BL120+BL121+BL122+BL124+BL125+BL126+BL127+BL128+BL129</f>
        <v>101705.86</v>
      </c>
      <c r="BM108" s="95">
        <f>BM109+BM110+BM112+BM113+BM117+BM118+BM119+BM120+BM121+BM122+BM124+BM125+BM126+BM127+BM128+BM129</f>
        <v>113233.70999999999</v>
      </c>
      <c r="BN108" s="27">
        <f t="shared" si="299"/>
        <v>41539.86</v>
      </c>
      <c r="BO108" s="90">
        <f>BO109+BO110+BO111+BO112+BO113+BO117+BO118+BO119+BO120+BO121+BO122+BO123+BO124+BO125+BO126+BO127+BO129+BO128</f>
        <v>63166</v>
      </c>
      <c r="BP108" s="95">
        <f>BP109+BP110+BP112+BP113+BP115+BP116+BP117+BP118+BP119+BP120+BP121+BP122+BP124+BP125+BP126+BP127+BP128+BP129</f>
        <v>175626.52999999997</v>
      </c>
      <c r="BQ108" s="95">
        <f>BQ109+BQ110+BQ111+BQ112+BQ113+BQ117+BQ118+BQ119+BQ120+BQ121+BQ122+BQ123+BQ124+BQ125+BQ126+BQ127+BQ128+BQ129</f>
        <v>192403.52999999997</v>
      </c>
      <c r="BR108" s="27">
        <f t="shared" si="300"/>
        <v>112460.52999999997</v>
      </c>
      <c r="BS108" s="25">
        <f t="shared" ref="BS108:BU131" si="303">BG108+BK108+BO108</f>
        <v>183498</v>
      </c>
      <c r="BT108" s="31">
        <f t="shared" si="303"/>
        <v>307938.77999999997</v>
      </c>
      <c r="BU108" s="31">
        <f>BU109+BU110+BU111+BU112+BU113+BU117+BU118+BU119+BU120+BU121+BU122+BU123+BU124+BU125+BU126+BU127+BU128+BU129</f>
        <v>335617.47</v>
      </c>
      <c r="BV108" s="32">
        <f t="shared" si="301"/>
        <v>124440.77999999997</v>
      </c>
      <c r="BW108" s="25">
        <f t="shared" ref="BW108:BY131" si="304">BS108+AY108</f>
        <v>358996</v>
      </c>
      <c r="BX108" s="31">
        <f t="shared" si="304"/>
        <v>485492.16</v>
      </c>
      <c r="BY108" s="31">
        <f>BY109+BY110+BY111+BY112+BY113+BY117+BY118+BY119+BY120+BY121+BY122+BY123+BY124+BY125+BY126+BY127+BY128+BY129</f>
        <v>501806.10999999993</v>
      </c>
      <c r="BZ108" s="32">
        <f t="shared" si="239"/>
        <v>126496.15999999997</v>
      </c>
      <c r="CA108" s="95">
        <f>CA109+CA110+CA112+CA113+CA117+CA118+CA119+CA120+CA121+CA122+CA124+CA125+CA126+CA127+CA128+CA129</f>
        <v>721992</v>
      </c>
      <c r="CB108" s="95">
        <f t="shared" ref="CB108:CC108" si="305">CB109+CB110+CB112+CB113+CB117+CB118+CB119+CB120+CB121+CB122+CB124+CB125+CB126+CB127+CB128+CB129</f>
        <v>945526.1100000001</v>
      </c>
      <c r="CC108" s="95">
        <f t="shared" si="305"/>
        <v>956217.07000000007</v>
      </c>
      <c r="CD108" s="32">
        <f>CB108-CA108</f>
        <v>223534.1100000001</v>
      </c>
      <c r="CG108" s="93"/>
      <c r="CH108" s="93"/>
      <c r="CJ108" s="209">
        <f>CJ109+CJ110+CJ111+CJ112+CJ113+CJ117+CJ118+CJ119+CJ120+CJ121+CJ122+CJ123+CJ124+CJ125+CJ126+CJ127+CJ128+CJ129</f>
        <v>183498</v>
      </c>
      <c r="CK108" s="209">
        <f>CK109+CK110+CK111+CK112+CK113+CK117+CK118+CK119+CK120+CK121+CK122+CK123+CK124+CK125+CK126+CK127+CK128+CK129</f>
        <v>307938.77999999997</v>
      </c>
      <c r="CL108" s="209">
        <f>CL109+CL110+CL111+CL112+CL113+CL117+CL118+CL119+CL120+CL121+CL122+CL123+CL124+CL125+CL126+CL127+CL128+CL129</f>
        <v>335617.47</v>
      </c>
      <c r="CM108" s="209">
        <f>CM109+CM110+CM111+CM112+CM113+CM117+CM118+CM119+CM120+CM121+CM122+CM123+CM124+CM125+CM126+CM127+CM128+CM129</f>
        <v>124440.78</v>
      </c>
      <c r="CN108" s="209">
        <f t="shared" si="268"/>
        <v>721992</v>
      </c>
      <c r="CO108" s="209">
        <f t="shared" si="268"/>
        <v>939126.1100000001</v>
      </c>
      <c r="CP108" s="209">
        <f t="shared" si="268"/>
        <v>956217.07000000007</v>
      </c>
      <c r="CQ108" s="209">
        <f t="shared" si="268"/>
        <v>217134.11000000004</v>
      </c>
    </row>
    <row r="109" spans="1:95" ht="16.5" hidden="1" x14ac:dyDescent="0.3">
      <c r="A109" s="49" t="s">
        <v>103</v>
      </c>
      <c r="B109" s="38" t="s">
        <v>104</v>
      </c>
      <c r="C109" s="174">
        <v>1200</v>
      </c>
      <c r="D109" s="18"/>
      <c r="E109" s="43"/>
      <c r="F109" s="170">
        <f t="shared" si="256"/>
        <v>-1200</v>
      </c>
      <c r="G109" s="83">
        <v>1200</v>
      </c>
      <c r="H109" s="18"/>
      <c r="I109" s="18"/>
      <c r="J109" s="19">
        <f t="shared" si="257"/>
        <v>-1200</v>
      </c>
      <c r="K109" s="17">
        <v>1200</v>
      </c>
      <c r="L109" s="18"/>
      <c r="M109" s="43"/>
      <c r="N109" s="19">
        <f t="shared" si="283"/>
        <v>-1200</v>
      </c>
      <c r="O109" s="17">
        <f t="shared" si="284"/>
        <v>3600</v>
      </c>
      <c r="P109" s="43">
        <f t="shared" si="285"/>
        <v>0</v>
      </c>
      <c r="Q109" s="43">
        <f t="shared" si="285"/>
        <v>0</v>
      </c>
      <c r="R109" s="19">
        <f t="shared" si="286"/>
        <v>-3600</v>
      </c>
      <c r="S109" s="17">
        <v>1200</v>
      </c>
      <c r="T109" s="18"/>
      <c r="U109" s="43"/>
      <c r="V109" s="19">
        <f t="shared" si="287"/>
        <v>-1200</v>
      </c>
      <c r="W109" s="17">
        <v>1200</v>
      </c>
      <c r="X109" s="18"/>
      <c r="Y109" s="37"/>
      <c r="Z109" s="18">
        <f t="shared" si="288"/>
        <v>-1200</v>
      </c>
      <c r="AA109" s="83">
        <v>1200</v>
      </c>
      <c r="AB109" s="18"/>
      <c r="AC109" s="43"/>
      <c r="AD109" s="19">
        <f t="shared" si="289"/>
        <v>-1200</v>
      </c>
      <c r="AE109" s="17">
        <f t="shared" ref="AE109:AG112" si="306">S109+W109+AA109</f>
        <v>3600</v>
      </c>
      <c r="AF109" s="18">
        <f t="shared" si="306"/>
        <v>0</v>
      </c>
      <c r="AG109" s="18">
        <f t="shared" si="306"/>
        <v>0</v>
      </c>
      <c r="AH109" s="19">
        <f t="shared" si="290"/>
        <v>-3600</v>
      </c>
      <c r="AI109" s="17">
        <f t="shared" ref="AI109:AK112" si="307">AE109+O109</f>
        <v>7200</v>
      </c>
      <c r="AJ109" s="18">
        <f t="shared" si="307"/>
        <v>0</v>
      </c>
      <c r="AK109" s="18">
        <f t="shared" si="307"/>
        <v>0</v>
      </c>
      <c r="AL109" s="19">
        <f t="shared" si="291"/>
        <v>-7200</v>
      </c>
      <c r="AM109" s="17">
        <v>1200</v>
      </c>
      <c r="AN109" s="18"/>
      <c r="AO109" s="18"/>
      <c r="AP109" s="20">
        <f t="shared" si="292"/>
        <v>-1200</v>
      </c>
      <c r="AQ109" s="17">
        <v>1200</v>
      </c>
      <c r="AR109" s="43"/>
      <c r="AS109" s="43"/>
      <c r="AT109" s="20">
        <f t="shared" si="293"/>
        <v>-1200</v>
      </c>
      <c r="AU109" s="17">
        <v>1200</v>
      </c>
      <c r="AV109" s="18"/>
      <c r="AW109" s="43"/>
      <c r="AX109" s="20">
        <f t="shared" si="294"/>
        <v>-1200</v>
      </c>
      <c r="AY109" s="17">
        <f t="shared" ref="AY109:BA112" si="308">AM109+AQ109+AU109</f>
        <v>3600</v>
      </c>
      <c r="AZ109" s="18">
        <f t="shared" si="308"/>
        <v>0</v>
      </c>
      <c r="BA109" s="18">
        <f t="shared" si="308"/>
        <v>0</v>
      </c>
      <c r="BB109" s="19">
        <f t="shared" si="295"/>
        <v>-3600</v>
      </c>
      <c r="BC109" s="194">
        <f t="shared" si="296"/>
        <v>10800</v>
      </c>
      <c r="BD109" s="124">
        <f t="shared" si="296"/>
        <v>0</v>
      </c>
      <c r="BE109" s="124">
        <f t="shared" si="296"/>
        <v>0</v>
      </c>
      <c r="BF109" s="170">
        <f t="shared" si="297"/>
        <v>-10800</v>
      </c>
      <c r="BG109" s="83">
        <v>1200</v>
      </c>
      <c r="BH109" s="18"/>
      <c r="BI109" s="43"/>
      <c r="BJ109" s="41">
        <f t="shared" si="298"/>
        <v>-1200</v>
      </c>
      <c r="BK109" s="44">
        <v>1200</v>
      </c>
      <c r="BL109" s="43"/>
      <c r="BM109" s="43"/>
      <c r="BN109" s="41">
        <f t="shared" si="299"/>
        <v>-1200</v>
      </c>
      <c r="BO109" s="44">
        <v>1200</v>
      </c>
      <c r="BP109" s="43"/>
      <c r="BQ109" s="43"/>
      <c r="BR109" s="41">
        <f t="shared" si="300"/>
        <v>-1200</v>
      </c>
      <c r="BS109" s="17">
        <f t="shared" si="303"/>
        <v>3600</v>
      </c>
      <c r="BT109" s="18">
        <f t="shared" si="303"/>
        <v>0</v>
      </c>
      <c r="BU109" s="18">
        <f t="shared" si="303"/>
        <v>0</v>
      </c>
      <c r="BV109" s="20">
        <f t="shared" si="301"/>
        <v>-3600</v>
      </c>
      <c r="BW109" s="17">
        <f t="shared" si="304"/>
        <v>7200</v>
      </c>
      <c r="BX109" s="18">
        <f t="shared" si="304"/>
        <v>0</v>
      </c>
      <c r="BY109" s="18">
        <f t="shared" si="304"/>
        <v>0</v>
      </c>
      <c r="BZ109" s="20">
        <f t="shared" si="239"/>
        <v>-7200</v>
      </c>
      <c r="CA109" s="17">
        <f t="shared" ref="CA109:CC112" si="309">BW109+AI109</f>
        <v>14400</v>
      </c>
      <c r="CB109" s="18">
        <f t="shared" si="309"/>
        <v>0</v>
      </c>
      <c r="CC109" s="18">
        <f t="shared" si="309"/>
        <v>0</v>
      </c>
      <c r="CD109" s="20">
        <f t="shared" si="271"/>
        <v>-14400</v>
      </c>
      <c r="CE109" s="142"/>
      <c r="CG109" s="93"/>
      <c r="CH109" s="93"/>
      <c r="CJ109" s="91">
        <f t="shared" ref="CJ109:CM112" si="310">BG109+BK109+BO109</f>
        <v>3600</v>
      </c>
      <c r="CK109" s="91">
        <f t="shared" si="310"/>
        <v>0</v>
      </c>
      <c r="CL109" s="91">
        <f t="shared" si="310"/>
        <v>0</v>
      </c>
      <c r="CM109" s="91">
        <f t="shared" si="310"/>
        <v>-3600</v>
      </c>
      <c r="CN109" s="91">
        <f t="shared" si="268"/>
        <v>14400</v>
      </c>
      <c r="CO109" s="91">
        <f t="shared" si="268"/>
        <v>0</v>
      </c>
      <c r="CP109" s="91">
        <f t="shared" si="268"/>
        <v>0</v>
      </c>
      <c r="CQ109" s="91">
        <f t="shared" si="268"/>
        <v>-14400</v>
      </c>
    </row>
    <row r="110" spans="1:95" ht="16.5" x14ac:dyDescent="0.3">
      <c r="A110" s="49" t="s">
        <v>103</v>
      </c>
      <c r="B110" s="38" t="s">
        <v>106</v>
      </c>
      <c r="C110" s="174">
        <v>10000</v>
      </c>
      <c r="D110" s="18"/>
      <c r="E110" s="43"/>
      <c r="F110" s="170">
        <f t="shared" si="256"/>
        <v>-10000</v>
      </c>
      <c r="G110" s="83">
        <v>10000</v>
      </c>
      <c r="H110" s="18"/>
      <c r="I110" s="18"/>
      <c r="J110" s="19">
        <f t="shared" si="257"/>
        <v>-10000</v>
      </c>
      <c r="K110" s="17">
        <v>10000</v>
      </c>
      <c r="L110" s="18"/>
      <c r="M110" s="43"/>
      <c r="N110" s="19">
        <f t="shared" si="283"/>
        <v>-10000</v>
      </c>
      <c r="O110" s="17">
        <f t="shared" si="284"/>
        <v>30000</v>
      </c>
      <c r="P110" s="43">
        <f t="shared" si="285"/>
        <v>0</v>
      </c>
      <c r="Q110" s="43">
        <f t="shared" si="285"/>
        <v>0</v>
      </c>
      <c r="R110" s="19">
        <f t="shared" si="286"/>
        <v>-30000</v>
      </c>
      <c r="S110" s="17">
        <v>0</v>
      </c>
      <c r="T110" s="18"/>
      <c r="U110" s="43"/>
      <c r="V110" s="19">
        <f t="shared" si="287"/>
        <v>0</v>
      </c>
      <c r="W110" s="17">
        <v>10000</v>
      </c>
      <c r="X110" s="18"/>
      <c r="Y110" s="37"/>
      <c r="Z110" s="18">
        <f t="shared" si="288"/>
        <v>-10000</v>
      </c>
      <c r="AA110" s="83">
        <v>10000</v>
      </c>
      <c r="AB110" s="18">
        <v>18407.2</v>
      </c>
      <c r="AC110" s="43">
        <v>18407.2</v>
      </c>
      <c r="AD110" s="19">
        <f t="shared" si="289"/>
        <v>8407.2000000000007</v>
      </c>
      <c r="AE110" s="17">
        <f t="shared" si="306"/>
        <v>20000</v>
      </c>
      <c r="AF110" s="18">
        <f t="shared" si="306"/>
        <v>18407.2</v>
      </c>
      <c r="AG110" s="18">
        <f t="shared" si="306"/>
        <v>18407.2</v>
      </c>
      <c r="AH110" s="19">
        <f t="shared" si="290"/>
        <v>-1592.7999999999993</v>
      </c>
      <c r="AI110" s="17">
        <f t="shared" si="307"/>
        <v>50000</v>
      </c>
      <c r="AJ110" s="18">
        <f t="shared" si="307"/>
        <v>18407.2</v>
      </c>
      <c r="AK110" s="18">
        <f t="shared" si="307"/>
        <v>18407.2</v>
      </c>
      <c r="AL110" s="19">
        <f t="shared" si="291"/>
        <v>-31592.799999999999</v>
      </c>
      <c r="AM110" s="17">
        <v>10000</v>
      </c>
      <c r="AN110" s="18"/>
      <c r="AO110" s="18"/>
      <c r="AP110" s="20">
        <f t="shared" si="292"/>
        <v>-10000</v>
      </c>
      <c r="AQ110" s="17">
        <v>10000</v>
      </c>
      <c r="AR110" s="43"/>
      <c r="AS110" s="43"/>
      <c r="AT110" s="20">
        <f t="shared" si="293"/>
        <v>-10000</v>
      </c>
      <c r="AU110" s="17">
        <v>0</v>
      </c>
      <c r="AV110" s="18"/>
      <c r="AW110" s="43"/>
      <c r="AX110" s="20">
        <f t="shared" si="294"/>
        <v>0</v>
      </c>
      <c r="AY110" s="17">
        <f t="shared" si="308"/>
        <v>20000</v>
      </c>
      <c r="AZ110" s="18">
        <f t="shared" si="308"/>
        <v>0</v>
      </c>
      <c r="BA110" s="18">
        <f t="shared" si="308"/>
        <v>0</v>
      </c>
      <c r="BB110" s="19">
        <f t="shared" si="295"/>
        <v>-20000</v>
      </c>
      <c r="BC110" s="190">
        <f t="shared" si="296"/>
        <v>70000</v>
      </c>
      <c r="BD110" s="84">
        <f t="shared" si="296"/>
        <v>18407.2</v>
      </c>
      <c r="BE110" s="84">
        <f t="shared" si="296"/>
        <v>18407.2</v>
      </c>
      <c r="BF110" s="170">
        <f t="shared" si="297"/>
        <v>-51592.800000000003</v>
      </c>
      <c r="BG110" s="83">
        <v>10000</v>
      </c>
      <c r="BH110" s="18"/>
      <c r="BI110" s="43"/>
      <c r="BJ110" s="41">
        <f t="shared" si="298"/>
        <v>-10000</v>
      </c>
      <c r="BK110" s="44">
        <v>10000</v>
      </c>
      <c r="BL110" s="43"/>
      <c r="BM110" s="43"/>
      <c r="BN110" s="41">
        <f t="shared" si="299"/>
        <v>-10000</v>
      </c>
      <c r="BO110" s="44">
        <v>10000</v>
      </c>
      <c r="BP110" s="43"/>
      <c r="BQ110" s="43"/>
      <c r="BR110" s="41">
        <f t="shared" si="300"/>
        <v>-10000</v>
      </c>
      <c r="BS110" s="17">
        <f t="shared" si="303"/>
        <v>30000</v>
      </c>
      <c r="BT110" s="18">
        <f t="shared" si="303"/>
        <v>0</v>
      </c>
      <c r="BU110" s="18">
        <f t="shared" si="303"/>
        <v>0</v>
      </c>
      <c r="BV110" s="20">
        <f t="shared" si="301"/>
        <v>-30000</v>
      </c>
      <c r="BW110" s="17">
        <f t="shared" si="304"/>
        <v>50000</v>
      </c>
      <c r="BX110" s="18">
        <f t="shared" si="304"/>
        <v>0</v>
      </c>
      <c r="BY110" s="18">
        <f t="shared" si="304"/>
        <v>0</v>
      </c>
      <c r="BZ110" s="20">
        <f t="shared" si="239"/>
        <v>-50000</v>
      </c>
      <c r="CA110" s="17">
        <f t="shared" si="309"/>
        <v>100000</v>
      </c>
      <c r="CB110" s="18">
        <f t="shared" si="309"/>
        <v>18407.2</v>
      </c>
      <c r="CC110" s="18">
        <f t="shared" si="309"/>
        <v>18407.2</v>
      </c>
      <c r="CD110" s="20">
        <f t="shared" si="271"/>
        <v>-81592.800000000003</v>
      </c>
      <c r="CG110" s="93"/>
      <c r="CH110" s="93"/>
      <c r="CJ110" s="91">
        <f t="shared" si="310"/>
        <v>30000</v>
      </c>
      <c r="CK110" s="91">
        <f t="shared" si="310"/>
        <v>0</v>
      </c>
      <c r="CL110" s="91">
        <f t="shared" si="310"/>
        <v>0</v>
      </c>
      <c r="CM110" s="91">
        <f t="shared" si="310"/>
        <v>-30000</v>
      </c>
      <c r="CN110" s="91">
        <f t="shared" si="268"/>
        <v>100000</v>
      </c>
      <c r="CO110" s="91">
        <f t="shared" si="268"/>
        <v>18407.2</v>
      </c>
      <c r="CP110" s="91">
        <f t="shared" si="268"/>
        <v>18407.2</v>
      </c>
      <c r="CQ110" s="91">
        <f t="shared" si="268"/>
        <v>-81592.800000000003</v>
      </c>
    </row>
    <row r="111" spans="1:95" ht="25.15" hidden="1" customHeight="1" x14ac:dyDescent="0.3">
      <c r="A111" s="49" t="s">
        <v>107</v>
      </c>
      <c r="B111" s="38" t="s">
        <v>108</v>
      </c>
      <c r="C111" s="168"/>
      <c r="D111" s="18"/>
      <c r="E111" s="18"/>
      <c r="F111" s="170">
        <f t="shared" si="256"/>
        <v>0</v>
      </c>
      <c r="G111" s="143"/>
      <c r="H111" s="18"/>
      <c r="I111" s="18"/>
      <c r="J111" s="19">
        <f t="shared" si="257"/>
        <v>0</v>
      </c>
      <c r="K111" s="135"/>
      <c r="L111" s="18"/>
      <c r="M111" s="43"/>
      <c r="N111" s="19">
        <f t="shared" si="283"/>
        <v>0</v>
      </c>
      <c r="O111" s="17">
        <f t="shared" si="284"/>
        <v>0</v>
      </c>
      <c r="P111" s="43">
        <f t="shared" si="285"/>
        <v>0</v>
      </c>
      <c r="Q111" s="43">
        <f t="shared" si="285"/>
        <v>0</v>
      </c>
      <c r="R111" s="19">
        <f t="shared" si="286"/>
        <v>0</v>
      </c>
      <c r="S111" s="135"/>
      <c r="T111" s="18"/>
      <c r="U111" s="43"/>
      <c r="V111" s="19">
        <f t="shared" si="287"/>
        <v>0</v>
      </c>
      <c r="W111" s="135"/>
      <c r="X111" s="18"/>
      <c r="Y111" s="37"/>
      <c r="Z111" s="18">
        <f t="shared" si="288"/>
        <v>0</v>
      </c>
      <c r="AA111" s="143"/>
      <c r="AB111" s="18"/>
      <c r="AC111" s="43"/>
      <c r="AD111" s="19">
        <f t="shared" si="289"/>
        <v>0</v>
      </c>
      <c r="AE111" s="17">
        <f t="shared" si="306"/>
        <v>0</v>
      </c>
      <c r="AF111" s="18">
        <f t="shared" si="306"/>
        <v>0</v>
      </c>
      <c r="AG111" s="18">
        <f t="shared" si="306"/>
        <v>0</v>
      </c>
      <c r="AH111" s="19">
        <f t="shared" si="290"/>
        <v>0</v>
      </c>
      <c r="AI111" s="17">
        <f t="shared" si="307"/>
        <v>0</v>
      </c>
      <c r="AJ111" s="18">
        <f t="shared" si="307"/>
        <v>0</v>
      </c>
      <c r="AK111" s="18">
        <f t="shared" si="307"/>
        <v>0</v>
      </c>
      <c r="AL111" s="19">
        <f t="shared" si="291"/>
        <v>0</v>
      </c>
      <c r="AM111" s="135"/>
      <c r="AN111" s="18"/>
      <c r="AO111" s="18"/>
      <c r="AP111" s="20">
        <f t="shared" si="292"/>
        <v>0</v>
      </c>
      <c r="AQ111" s="135"/>
      <c r="AR111" s="43"/>
      <c r="AS111" s="43"/>
      <c r="AT111" s="20">
        <f t="shared" si="293"/>
        <v>0</v>
      </c>
      <c r="AU111" s="135"/>
      <c r="AV111" s="18"/>
      <c r="AW111" s="43"/>
      <c r="AX111" s="20">
        <f t="shared" si="294"/>
        <v>0</v>
      </c>
      <c r="AY111" s="17">
        <f t="shared" si="308"/>
        <v>0</v>
      </c>
      <c r="AZ111" s="18">
        <f t="shared" si="308"/>
        <v>0</v>
      </c>
      <c r="BA111" s="18">
        <f t="shared" si="308"/>
        <v>0</v>
      </c>
      <c r="BB111" s="19">
        <f t="shared" si="295"/>
        <v>0</v>
      </c>
      <c r="BC111" s="190">
        <f t="shared" si="296"/>
        <v>0</v>
      </c>
      <c r="BD111" s="84">
        <f t="shared" si="296"/>
        <v>0</v>
      </c>
      <c r="BE111" s="84">
        <f t="shared" si="296"/>
        <v>0</v>
      </c>
      <c r="BF111" s="170">
        <f t="shared" si="297"/>
        <v>0</v>
      </c>
      <c r="BG111" s="143"/>
      <c r="BH111" s="18"/>
      <c r="BI111" s="43"/>
      <c r="BJ111" s="41">
        <f t="shared" si="298"/>
        <v>0</v>
      </c>
      <c r="BK111" s="144"/>
      <c r="BL111" s="43"/>
      <c r="BM111" s="43"/>
      <c r="BN111" s="41">
        <f t="shared" si="299"/>
        <v>0</v>
      </c>
      <c r="BO111" s="144"/>
      <c r="BP111" s="43"/>
      <c r="BQ111" s="43"/>
      <c r="BR111" s="41">
        <f t="shared" si="300"/>
        <v>0</v>
      </c>
      <c r="BS111" s="17">
        <f t="shared" si="303"/>
        <v>0</v>
      </c>
      <c r="BT111" s="18">
        <f t="shared" si="303"/>
        <v>0</v>
      </c>
      <c r="BU111" s="18">
        <f t="shared" si="303"/>
        <v>0</v>
      </c>
      <c r="BV111" s="20">
        <f t="shared" si="301"/>
        <v>0</v>
      </c>
      <c r="BW111" s="17">
        <f t="shared" si="304"/>
        <v>0</v>
      </c>
      <c r="BX111" s="18">
        <f t="shared" si="304"/>
        <v>0</v>
      </c>
      <c r="BY111" s="18">
        <f t="shared" si="304"/>
        <v>0</v>
      </c>
      <c r="BZ111" s="20">
        <f t="shared" si="239"/>
        <v>0</v>
      </c>
      <c r="CA111" s="17">
        <f t="shared" si="309"/>
        <v>0</v>
      </c>
      <c r="CB111" s="18">
        <f t="shared" si="309"/>
        <v>0</v>
      </c>
      <c r="CC111" s="18">
        <f t="shared" si="309"/>
        <v>0</v>
      </c>
      <c r="CD111" s="20">
        <f t="shared" si="271"/>
        <v>0</v>
      </c>
      <c r="CG111" s="93"/>
      <c r="CH111" s="93"/>
      <c r="CJ111" s="91">
        <f t="shared" si="310"/>
        <v>0</v>
      </c>
      <c r="CK111" s="91">
        <f t="shared" si="310"/>
        <v>0</v>
      </c>
      <c r="CL111" s="91">
        <f t="shared" si="310"/>
        <v>0</v>
      </c>
      <c r="CM111" s="91">
        <f t="shared" si="310"/>
        <v>0</v>
      </c>
      <c r="CN111" s="91">
        <f t="shared" si="268"/>
        <v>0</v>
      </c>
      <c r="CO111" s="91">
        <f t="shared" si="268"/>
        <v>0</v>
      </c>
      <c r="CP111" s="91">
        <f t="shared" si="268"/>
        <v>0</v>
      </c>
      <c r="CQ111" s="91">
        <f t="shared" si="268"/>
        <v>0</v>
      </c>
    </row>
    <row r="112" spans="1:95" ht="16.5" hidden="1" x14ac:dyDescent="0.3">
      <c r="A112" s="49" t="s">
        <v>107</v>
      </c>
      <c r="B112" s="38" t="s">
        <v>109</v>
      </c>
      <c r="C112" s="168"/>
      <c r="D112" s="18"/>
      <c r="E112" s="18"/>
      <c r="F112" s="170">
        <f t="shared" si="256"/>
        <v>0</v>
      </c>
      <c r="G112" s="83"/>
      <c r="H112" s="18"/>
      <c r="I112" s="18"/>
      <c r="J112" s="19">
        <f t="shared" si="257"/>
        <v>0</v>
      </c>
      <c r="K112" s="17"/>
      <c r="L112" s="18"/>
      <c r="M112" s="43"/>
      <c r="N112" s="19">
        <f t="shared" si="283"/>
        <v>0</v>
      </c>
      <c r="O112" s="17">
        <f t="shared" si="284"/>
        <v>0</v>
      </c>
      <c r="P112" s="43">
        <f t="shared" si="285"/>
        <v>0</v>
      </c>
      <c r="Q112" s="43">
        <f t="shared" si="285"/>
        <v>0</v>
      </c>
      <c r="R112" s="19">
        <f t="shared" si="286"/>
        <v>0</v>
      </c>
      <c r="S112" s="17"/>
      <c r="T112" s="18"/>
      <c r="U112" s="43"/>
      <c r="V112" s="19">
        <f t="shared" si="287"/>
        <v>0</v>
      </c>
      <c r="W112" s="17"/>
      <c r="X112" s="18"/>
      <c r="Y112" s="37"/>
      <c r="Z112" s="18">
        <f t="shared" si="288"/>
        <v>0</v>
      </c>
      <c r="AA112" s="83"/>
      <c r="AB112" s="18"/>
      <c r="AC112" s="43"/>
      <c r="AD112" s="19">
        <f t="shared" si="289"/>
        <v>0</v>
      </c>
      <c r="AE112" s="17">
        <f t="shared" si="306"/>
        <v>0</v>
      </c>
      <c r="AF112" s="18">
        <f t="shared" si="306"/>
        <v>0</v>
      </c>
      <c r="AG112" s="18">
        <f t="shared" si="306"/>
        <v>0</v>
      </c>
      <c r="AH112" s="19">
        <f t="shared" si="290"/>
        <v>0</v>
      </c>
      <c r="AI112" s="17">
        <f t="shared" si="307"/>
        <v>0</v>
      </c>
      <c r="AJ112" s="18">
        <f t="shared" si="307"/>
        <v>0</v>
      </c>
      <c r="AK112" s="18">
        <f t="shared" si="307"/>
        <v>0</v>
      </c>
      <c r="AL112" s="19">
        <f t="shared" si="291"/>
        <v>0</v>
      </c>
      <c r="AM112" s="17"/>
      <c r="AN112" s="18"/>
      <c r="AO112" s="18"/>
      <c r="AP112" s="20">
        <f t="shared" si="292"/>
        <v>0</v>
      </c>
      <c r="AQ112" s="17"/>
      <c r="AR112" s="18"/>
      <c r="AS112" s="18"/>
      <c r="AT112" s="20">
        <f t="shared" si="293"/>
        <v>0</v>
      </c>
      <c r="AU112" s="17"/>
      <c r="AV112" s="18"/>
      <c r="AW112" s="43"/>
      <c r="AX112" s="20">
        <f t="shared" si="294"/>
        <v>0</v>
      </c>
      <c r="AY112" s="17">
        <f t="shared" si="308"/>
        <v>0</v>
      </c>
      <c r="AZ112" s="18">
        <f t="shared" si="308"/>
        <v>0</v>
      </c>
      <c r="BA112" s="18">
        <f t="shared" si="308"/>
        <v>0</v>
      </c>
      <c r="BB112" s="19">
        <f t="shared" si="295"/>
        <v>0</v>
      </c>
      <c r="BC112" s="190">
        <f t="shared" si="296"/>
        <v>0</v>
      </c>
      <c r="BD112" s="84">
        <f t="shared" si="296"/>
        <v>0</v>
      </c>
      <c r="BE112" s="84">
        <f t="shared" si="296"/>
        <v>0</v>
      </c>
      <c r="BF112" s="170">
        <f t="shared" si="297"/>
        <v>0</v>
      </c>
      <c r="BG112" s="83"/>
      <c r="BH112" s="18"/>
      <c r="BI112" s="43"/>
      <c r="BJ112" s="41">
        <f t="shared" si="298"/>
        <v>0</v>
      </c>
      <c r="BK112" s="44"/>
      <c r="BL112" s="43"/>
      <c r="BM112" s="43"/>
      <c r="BN112" s="41">
        <f t="shared" si="299"/>
        <v>0</v>
      </c>
      <c r="BO112" s="44"/>
      <c r="BP112" s="43"/>
      <c r="BQ112" s="43"/>
      <c r="BR112" s="41">
        <f t="shared" si="300"/>
        <v>0</v>
      </c>
      <c r="BS112" s="17">
        <f t="shared" si="303"/>
        <v>0</v>
      </c>
      <c r="BT112" s="18">
        <f t="shared" si="303"/>
        <v>0</v>
      </c>
      <c r="BU112" s="18">
        <f t="shared" si="303"/>
        <v>0</v>
      </c>
      <c r="BV112" s="20">
        <f t="shared" si="301"/>
        <v>0</v>
      </c>
      <c r="BW112" s="17">
        <f t="shared" si="304"/>
        <v>0</v>
      </c>
      <c r="BX112" s="18">
        <f t="shared" si="304"/>
        <v>0</v>
      </c>
      <c r="BY112" s="18">
        <f t="shared" si="304"/>
        <v>0</v>
      </c>
      <c r="BZ112" s="20">
        <f t="shared" si="239"/>
        <v>0</v>
      </c>
      <c r="CA112" s="17">
        <f t="shared" si="309"/>
        <v>0</v>
      </c>
      <c r="CB112" s="18">
        <f t="shared" si="309"/>
        <v>0</v>
      </c>
      <c r="CC112" s="18">
        <f t="shared" si="309"/>
        <v>0</v>
      </c>
      <c r="CD112" s="20">
        <f t="shared" si="271"/>
        <v>0</v>
      </c>
      <c r="CG112" s="93"/>
      <c r="CH112" s="93"/>
      <c r="CJ112" s="91">
        <f t="shared" si="310"/>
        <v>0</v>
      </c>
      <c r="CK112" s="91">
        <f t="shared" si="310"/>
        <v>0</v>
      </c>
      <c r="CL112" s="91">
        <f t="shared" si="310"/>
        <v>0</v>
      </c>
      <c r="CM112" s="91">
        <f t="shared" si="310"/>
        <v>0</v>
      </c>
      <c r="CN112" s="91">
        <f t="shared" si="268"/>
        <v>0</v>
      </c>
      <c r="CO112" s="91">
        <f t="shared" si="268"/>
        <v>0</v>
      </c>
      <c r="CP112" s="91">
        <f t="shared" si="268"/>
        <v>0</v>
      </c>
      <c r="CQ112" s="91">
        <f t="shared" si="268"/>
        <v>0</v>
      </c>
    </row>
    <row r="113" spans="1:95" ht="16.5" x14ac:dyDescent="0.3">
      <c r="A113" s="49" t="s">
        <v>105</v>
      </c>
      <c r="B113" s="38" t="s">
        <v>111</v>
      </c>
      <c r="C113" s="179">
        <f>C114+C115+C116</f>
        <v>13000</v>
      </c>
      <c r="D113" s="46">
        <f>D114+D115+D116</f>
        <v>16500</v>
      </c>
      <c r="E113" s="46">
        <f>E114+E115+E116</f>
        <v>16500</v>
      </c>
      <c r="F113" s="170">
        <f t="shared" si="256"/>
        <v>3500</v>
      </c>
      <c r="G113" s="130">
        <f>G114+G115+G116</f>
        <v>13000</v>
      </c>
      <c r="H113" s="46">
        <f>H114+H115+H116</f>
        <v>3500</v>
      </c>
      <c r="I113" s="46">
        <f>I114+I115+I116</f>
        <v>3500</v>
      </c>
      <c r="J113" s="19">
        <f t="shared" si="257"/>
        <v>-9500</v>
      </c>
      <c r="K113" s="46">
        <f>K114+K115+K116</f>
        <v>13000</v>
      </c>
      <c r="L113" s="46">
        <f>L114+L115+L116</f>
        <v>5450</v>
      </c>
      <c r="M113" s="128">
        <f>M114+M115+M116</f>
        <v>5450</v>
      </c>
      <c r="N113" s="30">
        <f t="shared" si="283"/>
        <v>-7550</v>
      </c>
      <c r="O113" s="95">
        <f t="shared" ref="O113" si="311">K113+G113+C113</f>
        <v>39000</v>
      </c>
      <c r="P113" s="95">
        <f t="shared" si="285"/>
        <v>25450</v>
      </c>
      <c r="Q113" s="95">
        <f t="shared" si="285"/>
        <v>25450</v>
      </c>
      <c r="R113" s="30">
        <f t="shared" si="286"/>
        <v>-13550</v>
      </c>
      <c r="S113" s="46">
        <f>S114+S115+S116</f>
        <v>13000</v>
      </c>
      <c r="T113" s="131">
        <f>T114+T115+T116</f>
        <v>20000</v>
      </c>
      <c r="U113" s="132">
        <f>U114+U115+U116</f>
        <v>20000</v>
      </c>
      <c r="V113" s="30">
        <f t="shared" si="287"/>
        <v>7000</v>
      </c>
      <c r="W113" s="46">
        <f>W114+W115+W116</f>
        <v>13000</v>
      </c>
      <c r="X113" s="131">
        <f>X114+X115+X116</f>
        <v>5410</v>
      </c>
      <c r="Y113" s="145">
        <f>Y114+Y115+Y116</f>
        <v>5410</v>
      </c>
      <c r="Z113" s="31">
        <f t="shared" si="288"/>
        <v>-7590</v>
      </c>
      <c r="AA113" s="130">
        <f>AA114+AA115+AA116</f>
        <v>13000</v>
      </c>
      <c r="AB113" s="131">
        <f>AB114+AB115+AB116</f>
        <v>9390</v>
      </c>
      <c r="AC113" s="132">
        <f>AC114+AC115+AC116</f>
        <v>9390</v>
      </c>
      <c r="AD113" s="30">
        <f t="shared" si="289"/>
        <v>-3610</v>
      </c>
      <c r="AE113" s="46">
        <f>AE114+AE115+AE116</f>
        <v>39000</v>
      </c>
      <c r="AF113" s="131">
        <f>AF114+AF115+AF116</f>
        <v>34800</v>
      </c>
      <c r="AG113" s="131">
        <f>AG114+AG115+AG116</f>
        <v>34800</v>
      </c>
      <c r="AH113" s="19">
        <f t="shared" si="290"/>
        <v>-4200</v>
      </c>
      <c r="AI113" s="46">
        <f>AI114+AI115+AI116</f>
        <v>78000</v>
      </c>
      <c r="AJ113" s="131">
        <f>AJ114+AJ115+AJ116</f>
        <v>60250</v>
      </c>
      <c r="AK113" s="131">
        <f>AK114+AK115+AK116</f>
        <v>60250</v>
      </c>
      <c r="AL113" s="30">
        <f t="shared" si="291"/>
        <v>-17750</v>
      </c>
      <c r="AM113" s="46">
        <f>AM114+AM115+AM116</f>
        <v>18000</v>
      </c>
      <c r="AN113" s="131">
        <f>AN114+AN115+AN116</f>
        <v>20000</v>
      </c>
      <c r="AO113" s="131">
        <f>AO114+AO115+AO116</f>
        <v>20000</v>
      </c>
      <c r="AP113" s="32">
        <f t="shared" si="292"/>
        <v>2000</v>
      </c>
      <c r="AQ113" s="46">
        <f>AQ114+AQ115+AQ116</f>
        <v>13000</v>
      </c>
      <c r="AR113" s="131">
        <f>AR114+AR115+AR116</f>
        <v>3500</v>
      </c>
      <c r="AS113" s="131">
        <f>AS114+AS115+AS116</f>
        <v>3500</v>
      </c>
      <c r="AT113" s="32">
        <f t="shared" si="293"/>
        <v>-9500</v>
      </c>
      <c r="AU113" s="46">
        <f>AU114+AU115+AU116</f>
        <v>13000</v>
      </c>
      <c r="AV113" s="131">
        <f>AV114+AV115+AV116</f>
        <v>12150</v>
      </c>
      <c r="AW113" s="132">
        <f>AW114+AW115+AW116</f>
        <v>12150</v>
      </c>
      <c r="AX113" s="32">
        <f t="shared" si="294"/>
        <v>-850</v>
      </c>
      <c r="AY113" s="46">
        <f>AY114+AY115+AY116</f>
        <v>44000</v>
      </c>
      <c r="AZ113" s="131">
        <f>AZ114+AZ115+AZ116</f>
        <v>35650</v>
      </c>
      <c r="BA113" s="131">
        <f>BA114+BA115+BA116</f>
        <v>35650</v>
      </c>
      <c r="BB113" s="30">
        <f t="shared" si="295"/>
        <v>-8350</v>
      </c>
      <c r="BC113" s="190">
        <f t="shared" si="296"/>
        <v>122000</v>
      </c>
      <c r="BD113" s="84">
        <f t="shared" si="296"/>
        <v>95900</v>
      </c>
      <c r="BE113" s="84">
        <f t="shared" si="296"/>
        <v>95900</v>
      </c>
      <c r="BF113" s="170">
        <f t="shared" si="297"/>
        <v>-26100</v>
      </c>
      <c r="BG113" s="130">
        <f>BG114+BG115+BG116</f>
        <v>13000</v>
      </c>
      <c r="BH113" s="131">
        <f>BH114+BH115+BH116</f>
        <v>3500</v>
      </c>
      <c r="BI113" s="132">
        <f>BI114+BI115+BI116</f>
        <v>3500</v>
      </c>
      <c r="BJ113" s="27">
        <f t="shared" si="298"/>
        <v>-9500</v>
      </c>
      <c r="BK113" s="128">
        <f>BK114+BK115+BK116</f>
        <v>13000</v>
      </c>
      <c r="BL113" s="128">
        <f>BL114+BL115+BL116</f>
        <v>32800</v>
      </c>
      <c r="BM113" s="128">
        <f>BM114+BM115+BM116</f>
        <v>32800</v>
      </c>
      <c r="BN113" s="27">
        <f t="shared" si="299"/>
        <v>19800</v>
      </c>
      <c r="BO113" s="128">
        <f>BO114+BO115+BO116</f>
        <v>13000</v>
      </c>
      <c r="BP113" s="128">
        <f>BP114+BP115+BP116</f>
        <v>27680</v>
      </c>
      <c r="BQ113" s="128">
        <f>BQ114+BQ115+BQ116</f>
        <v>27680</v>
      </c>
      <c r="BR113" s="27">
        <f t="shared" si="300"/>
        <v>14680</v>
      </c>
      <c r="BS113" s="17">
        <f t="shared" si="303"/>
        <v>39000</v>
      </c>
      <c r="BT113" s="18">
        <f t="shared" si="303"/>
        <v>63980</v>
      </c>
      <c r="BU113" s="18">
        <f t="shared" si="303"/>
        <v>63980</v>
      </c>
      <c r="BV113" s="20">
        <f t="shared" si="301"/>
        <v>24980</v>
      </c>
      <c r="BW113" s="17">
        <f t="shared" si="304"/>
        <v>83000</v>
      </c>
      <c r="BX113" s="18">
        <f t="shared" si="304"/>
        <v>99630</v>
      </c>
      <c r="BY113" s="31">
        <f t="shared" si="304"/>
        <v>99630</v>
      </c>
      <c r="BZ113" s="20">
        <f t="shared" si="239"/>
        <v>16630</v>
      </c>
      <c r="CA113" s="46">
        <f>CA114+CA115+CA116</f>
        <v>161000</v>
      </c>
      <c r="CB113" s="46">
        <f t="shared" ref="CB113:CC113" si="312">CB114+CB115+CB116</f>
        <v>159880</v>
      </c>
      <c r="CC113" s="46">
        <f t="shared" si="312"/>
        <v>159880</v>
      </c>
      <c r="CD113" s="32">
        <f t="shared" si="271"/>
        <v>-1120</v>
      </c>
      <c r="CG113" s="93"/>
      <c r="CH113" s="93"/>
      <c r="CJ113" s="209">
        <f>CJ114+CJ115+CJ116</f>
        <v>39000</v>
      </c>
      <c r="CK113" s="209">
        <f>CK114+CK115+CK116</f>
        <v>63980</v>
      </c>
      <c r="CL113" s="209">
        <f>CL114+CL115+CL116</f>
        <v>63980</v>
      </c>
      <c r="CM113" s="209">
        <f>CM114+CM115+CM116</f>
        <v>24980</v>
      </c>
      <c r="CN113" s="209">
        <f t="shared" si="268"/>
        <v>161000</v>
      </c>
      <c r="CO113" s="209">
        <f t="shared" si="268"/>
        <v>159880</v>
      </c>
      <c r="CP113" s="209">
        <f t="shared" si="268"/>
        <v>159880</v>
      </c>
      <c r="CQ113" s="209">
        <f t="shared" si="268"/>
        <v>-1120</v>
      </c>
    </row>
    <row r="114" spans="1:95" ht="16.5" x14ac:dyDescent="0.3">
      <c r="A114" s="9"/>
      <c r="B114" s="28" t="s">
        <v>112</v>
      </c>
      <c r="C114" s="168">
        <v>12000</v>
      </c>
      <c r="D114" s="18">
        <v>16500</v>
      </c>
      <c r="E114" s="18">
        <v>16500</v>
      </c>
      <c r="F114" s="170">
        <f t="shared" si="256"/>
        <v>4500</v>
      </c>
      <c r="G114" s="83">
        <v>12000</v>
      </c>
      <c r="H114" s="18">
        <v>3500</v>
      </c>
      <c r="I114" s="18">
        <v>3500</v>
      </c>
      <c r="J114" s="19">
        <f t="shared" si="257"/>
        <v>-8500</v>
      </c>
      <c r="K114" s="17">
        <v>12000</v>
      </c>
      <c r="L114" s="18">
        <v>5450</v>
      </c>
      <c r="M114" s="43">
        <f>1950+3500</f>
        <v>5450</v>
      </c>
      <c r="N114" s="19">
        <f t="shared" si="283"/>
        <v>-6550</v>
      </c>
      <c r="O114" s="17">
        <f t="shared" si="284"/>
        <v>36000</v>
      </c>
      <c r="P114" s="43">
        <f t="shared" si="285"/>
        <v>25450</v>
      </c>
      <c r="Q114" s="43">
        <f t="shared" si="285"/>
        <v>25450</v>
      </c>
      <c r="R114" s="19">
        <f t="shared" si="286"/>
        <v>-10550</v>
      </c>
      <c r="S114" s="17">
        <v>12000</v>
      </c>
      <c r="T114" s="18">
        <v>20000</v>
      </c>
      <c r="U114" s="43">
        <f>16500+3500</f>
        <v>20000</v>
      </c>
      <c r="V114" s="19">
        <f t="shared" si="287"/>
        <v>8000</v>
      </c>
      <c r="W114" s="17">
        <v>12000</v>
      </c>
      <c r="X114" s="18">
        <f>3500</f>
        <v>3500</v>
      </c>
      <c r="Y114" s="37">
        <v>3500</v>
      </c>
      <c r="Z114" s="18">
        <f t="shared" si="288"/>
        <v>-8500</v>
      </c>
      <c r="AA114" s="83">
        <v>12000</v>
      </c>
      <c r="AB114" s="18">
        <v>9390</v>
      </c>
      <c r="AC114" s="43">
        <f>5890+3500</f>
        <v>9390</v>
      </c>
      <c r="AD114" s="19">
        <f t="shared" si="289"/>
        <v>-2610</v>
      </c>
      <c r="AE114" s="17">
        <f t="shared" ref="AE114:AG131" si="313">S114+W114+AA114</f>
        <v>36000</v>
      </c>
      <c r="AF114" s="18">
        <f t="shared" si="313"/>
        <v>32890</v>
      </c>
      <c r="AG114" s="18">
        <f t="shared" si="313"/>
        <v>32890</v>
      </c>
      <c r="AH114" s="19">
        <f t="shared" si="290"/>
        <v>-3110</v>
      </c>
      <c r="AI114" s="17">
        <f t="shared" ref="AI114:AK131" si="314">AE114+O114</f>
        <v>72000</v>
      </c>
      <c r="AJ114" s="18">
        <f t="shared" si="314"/>
        <v>58340</v>
      </c>
      <c r="AK114" s="18">
        <f t="shared" si="314"/>
        <v>58340</v>
      </c>
      <c r="AL114" s="19">
        <f t="shared" si="291"/>
        <v>-13660</v>
      </c>
      <c r="AM114" s="17">
        <v>12000</v>
      </c>
      <c r="AN114" s="18">
        <v>20000</v>
      </c>
      <c r="AO114" s="18">
        <f>16500+3500</f>
        <v>20000</v>
      </c>
      <c r="AP114" s="20">
        <f t="shared" si="292"/>
        <v>8000</v>
      </c>
      <c r="AQ114" s="17">
        <v>12000</v>
      </c>
      <c r="AR114" s="18">
        <v>3500</v>
      </c>
      <c r="AS114" s="18">
        <v>3500</v>
      </c>
      <c r="AT114" s="20">
        <f t="shared" si="293"/>
        <v>-8500</v>
      </c>
      <c r="AU114" s="17">
        <v>12000</v>
      </c>
      <c r="AV114" s="18">
        <v>12150</v>
      </c>
      <c r="AW114" s="43">
        <f>8650+3500</f>
        <v>12150</v>
      </c>
      <c r="AX114" s="20">
        <f t="shared" si="294"/>
        <v>150</v>
      </c>
      <c r="AY114" s="17">
        <f t="shared" ref="AY114:BA130" si="315">AM114+AQ114+AU114</f>
        <v>36000</v>
      </c>
      <c r="AZ114" s="18">
        <v>35650</v>
      </c>
      <c r="BA114" s="18">
        <f t="shared" si="315"/>
        <v>35650</v>
      </c>
      <c r="BB114" s="19">
        <f t="shared" si="295"/>
        <v>-350</v>
      </c>
      <c r="BC114" s="190">
        <f t="shared" si="296"/>
        <v>108000</v>
      </c>
      <c r="BD114" s="84">
        <f t="shared" si="296"/>
        <v>93990</v>
      </c>
      <c r="BE114" s="84">
        <f t="shared" si="296"/>
        <v>93990</v>
      </c>
      <c r="BF114" s="170">
        <f t="shared" si="297"/>
        <v>-14010</v>
      </c>
      <c r="BG114" s="83">
        <v>12000</v>
      </c>
      <c r="BH114" s="18">
        <v>3500</v>
      </c>
      <c r="BI114" s="43">
        <f>3500</f>
        <v>3500</v>
      </c>
      <c r="BJ114" s="41">
        <f t="shared" si="298"/>
        <v>-8500</v>
      </c>
      <c r="BK114" s="44">
        <v>12000</v>
      </c>
      <c r="BL114" s="43">
        <v>32800</v>
      </c>
      <c r="BM114" s="43">
        <f>29300+3500</f>
        <v>32800</v>
      </c>
      <c r="BN114" s="41">
        <f t="shared" si="299"/>
        <v>20800</v>
      </c>
      <c r="BO114" s="44">
        <v>12000</v>
      </c>
      <c r="BP114" s="43">
        <v>27680</v>
      </c>
      <c r="BQ114" s="43">
        <f>1980+25700</f>
        <v>27680</v>
      </c>
      <c r="BR114" s="41">
        <f t="shared" si="300"/>
        <v>15680</v>
      </c>
      <c r="BS114" s="17">
        <f t="shared" si="303"/>
        <v>36000</v>
      </c>
      <c r="BT114" s="18">
        <f t="shared" si="303"/>
        <v>63980</v>
      </c>
      <c r="BU114" s="18">
        <f t="shared" si="303"/>
        <v>63980</v>
      </c>
      <c r="BV114" s="20">
        <f t="shared" si="301"/>
        <v>27980</v>
      </c>
      <c r="BW114" s="17">
        <f t="shared" si="304"/>
        <v>72000</v>
      </c>
      <c r="BX114" s="18">
        <f t="shared" si="304"/>
        <v>99630</v>
      </c>
      <c r="BY114" s="18">
        <f t="shared" si="304"/>
        <v>99630</v>
      </c>
      <c r="BZ114" s="20">
        <f t="shared" si="239"/>
        <v>27630</v>
      </c>
      <c r="CA114" s="17">
        <f t="shared" ref="CA114:CC131" si="316">BW114+AI114</f>
        <v>144000</v>
      </c>
      <c r="CB114" s="18">
        <f t="shared" si="316"/>
        <v>157970</v>
      </c>
      <c r="CC114" s="43">
        <f t="shared" si="316"/>
        <v>157970</v>
      </c>
      <c r="CD114" s="20">
        <f>CB114-CA114</f>
        <v>13970</v>
      </c>
      <c r="CG114" s="93"/>
      <c r="CH114" s="93"/>
      <c r="CJ114" s="91">
        <f t="shared" ref="CJ114:CM131" si="317">BG114+BK114+BO114</f>
        <v>36000</v>
      </c>
      <c r="CK114" s="91">
        <f t="shared" si="317"/>
        <v>63980</v>
      </c>
      <c r="CL114" s="91">
        <f t="shared" si="317"/>
        <v>63980</v>
      </c>
      <c r="CM114" s="91">
        <f t="shared" si="317"/>
        <v>27980</v>
      </c>
      <c r="CN114" s="91">
        <f t="shared" si="268"/>
        <v>144000</v>
      </c>
      <c r="CO114" s="91">
        <f t="shared" si="268"/>
        <v>157970</v>
      </c>
      <c r="CP114" s="91">
        <f t="shared" si="268"/>
        <v>157970</v>
      </c>
      <c r="CQ114" s="91">
        <f t="shared" si="268"/>
        <v>13970</v>
      </c>
    </row>
    <row r="115" spans="1:95" ht="16.5" x14ac:dyDescent="0.3">
      <c r="A115" s="9"/>
      <c r="B115" s="28" t="s">
        <v>113</v>
      </c>
      <c r="C115" s="168"/>
      <c r="D115" s="18"/>
      <c r="E115" s="18"/>
      <c r="F115" s="170">
        <f t="shared" si="256"/>
        <v>0</v>
      </c>
      <c r="G115" s="83"/>
      <c r="H115" s="18"/>
      <c r="I115" s="18"/>
      <c r="J115" s="19">
        <f t="shared" si="257"/>
        <v>0</v>
      </c>
      <c r="K115" s="17"/>
      <c r="L115" s="18"/>
      <c r="M115" s="43"/>
      <c r="N115" s="19">
        <f t="shared" si="283"/>
        <v>0</v>
      </c>
      <c r="O115" s="17">
        <f t="shared" si="284"/>
        <v>0</v>
      </c>
      <c r="P115" s="43">
        <f t="shared" si="285"/>
        <v>0</v>
      </c>
      <c r="Q115" s="43">
        <f t="shared" si="285"/>
        <v>0</v>
      </c>
      <c r="R115" s="19">
        <f t="shared" si="286"/>
        <v>0</v>
      </c>
      <c r="S115" s="17"/>
      <c r="T115" s="18"/>
      <c r="U115" s="43"/>
      <c r="V115" s="19">
        <f t="shared" si="287"/>
        <v>0</v>
      </c>
      <c r="W115" s="17"/>
      <c r="X115" s="18"/>
      <c r="Y115" s="37"/>
      <c r="Z115" s="18">
        <f t="shared" si="288"/>
        <v>0</v>
      </c>
      <c r="AA115" s="83"/>
      <c r="AB115" s="18"/>
      <c r="AC115" s="43"/>
      <c r="AD115" s="19">
        <f t="shared" si="289"/>
        <v>0</v>
      </c>
      <c r="AE115" s="17">
        <f t="shared" si="313"/>
        <v>0</v>
      </c>
      <c r="AF115" s="18">
        <f t="shared" si="313"/>
        <v>0</v>
      </c>
      <c r="AG115" s="18">
        <f t="shared" si="313"/>
        <v>0</v>
      </c>
      <c r="AH115" s="19">
        <f t="shared" si="290"/>
        <v>0</v>
      </c>
      <c r="AI115" s="17">
        <f t="shared" si="314"/>
        <v>0</v>
      </c>
      <c r="AJ115" s="18">
        <f t="shared" si="314"/>
        <v>0</v>
      </c>
      <c r="AK115" s="18">
        <f t="shared" si="314"/>
        <v>0</v>
      </c>
      <c r="AL115" s="19">
        <f t="shared" si="291"/>
        <v>0</v>
      </c>
      <c r="AM115" s="17">
        <v>5000</v>
      </c>
      <c r="AN115" s="18"/>
      <c r="AO115" s="18"/>
      <c r="AP115" s="20">
        <f t="shared" si="292"/>
        <v>-5000</v>
      </c>
      <c r="AQ115" s="17"/>
      <c r="AR115" s="18"/>
      <c r="AS115" s="43"/>
      <c r="AT115" s="20">
        <f t="shared" si="293"/>
        <v>0</v>
      </c>
      <c r="AU115" s="17"/>
      <c r="AV115" s="18"/>
      <c r="AW115" s="43"/>
      <c r="AX115" s="20">
        <f t="shared" si="294"/>
        <v>0</v>
      </c>
      <c r="AY115" s="17">
        <f t="shared" si="315"/>
        <v>5000</v>
      </c>
      <c r="AZ115" s="18">
        <f t="shared" si="315"/>
        <v>0</v>
      </c>
      <c r="BA115" s="18">
        <f t="shared" si="315"/>
        <v>0</v>
      </c>
      <c r="BB115" s="19">
        <f t="shared" si="295"/>
        <v>-5000</v>
      </c>
      <c r="BC115" s="190">
        <f t="shared" si="296"/>
        <v>5000</v>
      </c>
      <c r="BD115" s="84">
        <f t="shared" si="296"/>
        <v>0</v>
      </c>
      <c r="BE115" s="84">
        <f t="shared" si="296"/>
        <v>0</v>
      </c>
      <c r="BF115" s="170">
        <f t="shared" si="297"/>
        <v>-5000</v>
      </c>
      <c r="BG115" s="83"/>
      <c r="BH115" s="18"/>
      <c r="BI115" s="43"/>
      <c r="BJ115" s="41">
        <f t="shared" si="298"/>
        <v>0</v>
      </c>
      <c r="BK115" s="44"/>
      <c r="BL115" s="43"/>
      <c r="BM115" s="43"/>
      <c r="BN115" s="41">
        <f t="shared" si="299"/>
        <v>0</v>
      </c>
      <c r="BO115" s="44"/>
      <c r="BP115" s="43"/>
      <c r="BQ115" s="43"/>
      <c r="BR115" s="41">
        <f t="shared" si="300"/>
        <v>0</v>
      </c>
      <c r="BS115" s="17">
        <f t="shared" si="303"/>
        <v>0</v>
      </c>
      <c r="BT115" s="18">
        <f t="shared" si="303"/>
        <v>0</v>
      </c>
      <c r="BU115" s="18">
        <f t="shared" si="303"/>
        <v>0</v>
      </c>
      <c r="BV115" s="20">
        <f t="shared" si="301"/>
        <v>0</v>
      </c>
      <c r="BW115" s="17">
        <f t="shared" si="304"/>
        <v>5000</v>
      </c>
      <c r="BX115" s="18">
        <f t="shared" si="304"/>
        <v>0</v>
      </c>
      <c r="BY115" s="18">
        <f t="shared" si="304"/>
        <v>0</v>
      </c>
      <c r="BZ115" s="20">
        <f t="shared" si="239"/>
        <v>-5000</v>
      </c>
      <c r="CA115" s="17">
        <f t="shared" si="316"/>
        <v>5000</v>
      </c>
      <c r="CB115" s="18">
        <f t="shared" si="316"/>
        <v>0</v>
      </c>
      <c r="CC115" s="43">
        <f t="shared" si="316"/>
        <v>0</v>
      </c>
      <c r="CD115" s="20">
        <f t="shared" ref="CD115:CD130" si="318">CB115-CA115</f>
        <v>-5000</v>
      </c>
      <c r="CG115" s="93"/>
      <c r="CH115" s="93"/>
      <c r="CJ115" s="91">
        <f t="shared" si="317"/>
        <v>0</v>
      </c>
      <c r="CK115" s="91">
        <f t="shared" si="317"/>
        <v>0</v>
      </c>
      <c r="CL115" s="91">
        <f t="shared" si="317"/>
        <v>0</v>
      </c>
      <c r="CM115" s="91">
        <f t="shared" si="317"/>
        <v>0</v>
      </c>
      <c r="CN115" s="91">
        <f t="shared" si="268"/>
        <v>5000</v>
      </c>
      <c r="CO115" s="91">
        <f t="shared" si="268"/>
        <v>0</v>
      </c>
      <c r="CP115" s="91">
        <f t="shared" si="268"/>
        <v>0</v>
      </c>
      <c r="CQ115" s="91">
        <f t="shared" si="268"/>
        <v>-5000</v>
      </c>
    </row>
    <row r="116" spans="1:95" ht="27" customHeight="1" x14ac:dyDescent="0.3">
      <c r="A116" s="9"/>
      <c r="B116" s="28" t="s">
        <v>160</v>
      </c>
      <c r="C116" s="168">
        <v>1000</v>
      </c>
      <c r="D116" s="18"/>
      <c r="E116" s="43"/>
      <c r="F116" s="170">
        <f t="shared" si="256"/>
        <v>-1000</v>
      </c>
      <c r="G116" s="83">
        <v>1000</v>
      </c>
      <c r="H116" s="18"/>
      <c r="I116" s="43"/>
      <c r="J116" s="19">
        <f t="shared" si="257"/>
        <v>-1000</v>
      </c>
      <c r="K116" s="17">
        <v>1000</v>
      </c>
      <c r="L116" s="18"/>
      <c r="M116" s="43"/>
      <c r="N116" s="19">
        <f t="shared" si="283"/>
        <v>-1000</v>
      </c>
      <c r="O116" s="17">
        <f t="shared" si="284"/>
        <v>3000</v>
      </c>
      <c r="P116" s="43">
        <f t="shared" si="285"/>
        <v>0</v>
      </c>
      <c r="Q116" s="43">
        <f t="shared" si="285"/>
        <v>0</v>
      </c>
      <c r="R116" s="19">
        <f t="shared" si="286"/>
        <v>-3000</v>
      </c>
      <c r="S116" s="17">
        <v>1000</v>
      </c>
      <c r="T116" s="18"/>
      <c r="U116" s="43"/>
      <c r="V116" s="19">
        <f t="shared" si="287"/>
        <v>-1000</v>
      </c>
      <c r="W116" s="17">
        <v>1000</v>
      </c>
      <c r="X116" s="18">
        <v>1910</v>
      </c>
      <c r="Y116" s="37">
        <v>1910</v>
      </c>
      <c r="Z116" s="18">
        <f t="shared" si="288"/>
        <v>910</v>
      </c>
      <c r="AA116" s="83">
        <v>1000</v>
      </c>
      <c r="AB116" s="18"/>
      <c r="AC116" s="43"/>
      <c r="AD116" s="19">
        <f t="shared" si="289"/>
        <v>-1000</v>
      </c>
      <c r="AE116" s="17">
        <f t="shared" si="313"/>
        <v>3000</v>
      </c>
      <c r="AF116" s="18">
        <f t="shared" si="313"/>
        <v>1910</v>
      </c>
      <c r="AG116" s="18">
        <f t="shared" si="313"/>
        <v>1910</v>
      </c>
      <c r="AH116" s="19">
        <f t="shared" si="290"/>
        <v>-1090</v>
      </c>
      <c r="AI116" s="17">
        <f t="shared" si="314"/>
        <v>6000</v>
      </c>
      <c r="AJ116" s="18">
        <f t="shared" si="314"/>
        <v>1910</v>
      </c>
      <c r="AK116" s="18">
        <f t="shared" si="314"/>
        <v>1910</v>
      </c>
      <c r="AL116" s="19">
        <f t="shared" si="291"/>
        <v>-4090</v>
      </c>
      <c r="AM116" s="17">
        <v>1000</v>
      </c>
      <c r="AN116" s="18"/>
      <c r="AO116" s="18"/>
      <c r="AP116" s="20">
        <f t="shared" si="292"/>
        <v>-1000</v>
      </c>
      <c r="AQ116" s="17">
        <v>1000</v>
      </c>
      <c r="AR116" s="18"/>
      <c r="AS116" s="43"/>
      <c r="AT116" s="20">
        <f t="shared" si="293"/>
        <v>-1000</v>
      </c>
      <c r="AU116" s="17">
        <v>1000</v>
      </c>
      <c r="AV116" s="18"/>
      <c r="AW116" s="43"/>
      <c r="AX116" s="20">
        <f t="shared" si="294"/>
        <v>-1000</v>
      </c>
      <c r="AY116" s="17">
        <f t="shared" si="315"/>
        <v>3000</v>
      </c>
      <c r="AZ116" s="18">
        <f t="shared" si="315"/>
        <v>0</v>
      </c>
      <c r="BA116" s="18">
        <f t="shared" si="315"/>
        <v>0</v>
      </c>
      <c r="BB116" s="19">
        <f t="shared" si="295"/>
        <v>-3000</v>
      </c>
      <c r="BC116" s="190">
        <f t="shared" si="296"/>
        <v>9000</v>
      </c>
      <c r="BD116" s="84">
        <f t="shared" si="296"/>
        <v>1910</v>
      </c>
      <c r="BE116" s="84">
        <f t="shared" si="296"/>
        <v>1910</v>
      </c>
      <c r="BF116" s="170">
        <f t="shared" si="297"/>
        <v>-7090</v>
      </c>
      <c r="BG116" s="83">
        <v>1000</v>
      </c>
      <c r="BH116" s="18"/>
      <c r="BI116" s="43"/>
      <c r="BJ116" s="41">
        <f t="shared" si="298"/>
        <v>-1000</v>
      </c>
      <c r="BK116" s="44">
        <v>1000</v>
      </c>
      <c r="BL116" s="43"/>
      <c r="BM116" s="43"/>
      <c r="BN116" s="41">
        <f t="shared" si="299"/>
        <v>-1000</v>
      </c>
      <c r="BO116" s="44">
        <v>1000</v>
      </c>
      <c r="BP116" s="43"/>
      <c r="BQ116" s="43"/>
      <c r="BR116" s="41">
        <f t="shared" si="300"/>
        <v>-1000</v>
      </c>
      <c r="BS116" s="17">
        <f t="shared" si="303"/>
        <v>3000</v>
      </c>
      <c r="BT116" s="18">
        <f t="shared" si="303"/>
        <v>0</v>
      </c>
      <c r="BU116" s="18">
        <f t="shared" si="303"/>
        <v>0</v>
      </c>
      <c r="BV116" s="20">
        <f t="shared" si="301"/>
        <v>-3000</v>
      </c>
      <c r="BW116" s="17">
        <f t="shared" si="304"/>
        <v>6000</v>
      </c>
      <c r="BX116" s="18">
        <f t="shared" si="304"/>
        <v>0</v>
      </c>
      <c r="BY116" s="18">
        <f t="shared" si="304"/>
        <v>0</v>
      </c>
      <c r="BZ116" s="20">
        <f t="shared" si="239"/>
        <v>-6000</v>
      </c>
      <c r="CA116" s="17">
        <f t="shared" si="316"/>
        <v>12000</v>
      </c>
      <c r="CB116" s="18">
        <f t="shared" si="316"/>
        <v>1910</v>
      </c>
      <c r="CC116" s="43">
        <f t="shared" si="316"/>
        <v>1910</v>
      </c>
      <c r="CD116" s="20">
        <f t="shared" si="318"/>
        <v>-10090</v>
      </c>
      <c r="CG116" s="93"/>
      <c r="CH116" s="93"/>
      <c r="CJ116" s="91">
        <f t="shared" si="317"/>
        <v>3000</v>
      </c>
      <c r="CK116" s="91">
        <f t="shared" si="317"/>
        <v>0</v>
      </c>
      <c r="CL116" s="91">
        <f t="shared" si="317"/>
        <v>0</v>
      </c>
      <c r="CM116" s="91">
        <f t="shared" si="317"/>
        <v>-3000</v>
      </c>
      <c r="CN116" s="91">
        <f t="shared" si="268"/>
        <v>12000</v>
      </c>
      <c r="CO116" s="91">
        <f t="shared" si="268"/>
        <v>1910</v>
      </c>
      <c r="CP116" s="91">
        <f t="shared" si="268"/>
        <v>1910</v>
      </c>
      <c r="CQ116" s="91">
        <f t="shared" si="268"/>
        <v>-10090</v>
      </c>
    </row>
    <row r="117" spans="1:95" ht="25.5" x14ac:dyDescent="0.3">
      <c r="A117" s="49" t="s">
        <v>107</v>
      </c>
      <c r="B117" s="38" t="s">
        <v>170</v>
      </c>
      <c r="C117" s="174">
        <v>3000</v>
      </c>
      <c r="D117" s="18">
        <v>31485</v>
      </c>
      <c r="E117" s="43">
        <v>31485</v>
      </c>
      <c r="F117" s="170">
        <f t="shared" si="256"/>
        <v>28485</v>
      </c>
      <c r="G117" s="83">
        <v>3000</v>
      </c>
      <c r="H117" s="18">
        <v>7500</v>
      </c>
      <c r="I117" s="43">
        <v>7500</v>
      </c>
      <c r="J117" s="19">
        <f t="shared" si="257"/>
        <v>4500</v>
      </c>
      <c r="K117" s="17">
        <v>3000</v>
      </c>
      <c r="L117" s="18"/>
      <c r="M117" s="18"/>
      <c r="N117" s="19">
        <f t="shared" si="283"/>
        <v>-3000</v>
      </c>
      <c r="O117" s="17">
        <f t="shared" si="284"/>
        <v>9000</v>
      </c>
      <c r="P117" s="43">
        <f t="shared" si="285"/>
        <v>38985</v>
      </c>
      <c r="Q117" s="43">
        <f t="shared" si="285"/>
        <v>38985</v>
      </c>
      <c r="R117" s="19">
        <f t="shared" si="286"/>
        <v>29985</v>
      </c>
      <c r="S117" s="17">
        <v>3000</v>
      </c>
      <c r="T117" s="18"/>
      <c r="U117" s="43"/>
      <c r="V117" s="19">
        <f t="shared" si="287"/>
        <v>-3000</v>
      </c>
      <c r="W117" s="17">
        <v>3000</v>
      </c>
      <c r="X117" s="18">
        <v>113754.07</v>
      </c>
      <c r="Y117" s="37">
        <v>113754.07</v>
      </c>
      <c r="Z117" s="18">
        <f t="shared" si="288"/>
        <v>110754.07</v>
      </c>
      <c r="AA117" s="83">
        <v>3000</v>
      </c>
      <c r="AB117" s="18"/>
      <c r="AC117" s="43"/>
      <c r="AD117" s="19">
        <f t="shared" si="289"/>
        <v>-3000</v>
      </c>
      <c r="AE117" s="17">
        <f t="shared" si="313"/>
        <v>9000</v>
      </c>
      <c r="AF117" s="18">
        <f t="shared" si="313"/>
        <v>113754.07</v>
      </c>
      <c r="AG117" s="18">
        <f t="shared" si="313"/>
        <v>113754.07</v>
      </c>
      <c r="AH117" s="19">
        <f t="shared" si="290"/>
        <v>104754.07</v>
      </c>
      <c r="AI117" s="17">
        <f t="shared" si="314"/>
        <v>18000</v>
      </c>
      <c r="AJ117" s="18">
        <f t="shared" si="314"/>
        <v>152739.07</v>
      </c>
      <c r="AK117" s="18">
        <f t="shared" si="314"/>
        <v>152739.07</v>
      </c>
      <c r="AL117" s="19">
        <f t="shared" si="291"/>
        <v>134739.07</v>
      </c>
      <c r="AM117" s="17">
        <v>1000</v>
      </c>
      <c r="AN117" s="18"/>
      <c r="AO117" s="18"/>
      <c r="AP117" s="20">
        <f t="shared" si="292"/>
        <v>-1000</v>
      </c>
      <c r="AQ117" s="17">
        <v>1000</v>
      </c>
      <c r="AR117" s="18">
        <v>37762</v>
      </c>
      <c r="AS117" s="43">
        <v>37762</v>
      </c>
      <c r="AT117" s="20">
        <f t="shared" si="293"/>
        <v>36762</v>
      </c>
      <c r="AU117" s="17">
        <v>1000</v>
      </c>
      <c r="AV117" s="18">
        <v>500</v>
      </c>
      <c r="AW117" s="43">
        <v>500</v>
      </c>
      <c r="AX117" s="20">
        <f t="shared" si="294"/>
        <v>-500</v>
      </c>
      <c r="AY117" s="17">
        <f t="shared" si="315"/>
        <v>3000</v>
      </c>
      <c r="AZ117" s="18">
        <f t="shared" si="315"/>
        <v>38262</v>
      </c>
      <c r="BA117" s="18">
        <f t="shared" si="315"/>
        <v>38262</v>
      </c>
      <c r="BB117" s="19">
        <f t="shared" si="295"/>
        <v>35262</v>
      </c>
      <c r="BC117" s="194">
        <f t="shared" si="296"/>
        <v>21000</v>
      </c>
      <c r="BD117" s="124">
        <f t="shared" si="296"/>
        <v>191001.07</v>
      </c>
      <c r="BE117" s="124">
        <f t="shared" si="296"/>
        <v>191001.07</v>
      </c>
      <c r="BF117" s="170">
        <f t="shared" si="297"/>
        <v>170001.07</v>
      </c>
      <c r="BG117" s="83">
        <v>1000</v>
      </c>
      <c r="BH117" s="18"/>
      <c r="BI117" s="43"/>
      <c r="BJ117" s="41">
        <f t="shared" si="298"/>
        <v>-1000</v>
      </c>
      <c r="BK117" s="44">
        <v>1000</v>
      </c>
      <c r="BL117" s="43">
        <f>9000+10500</f>
        <v>19500</v>
      </c>
      <c r="BM117" s="43">
        <f>9000+10500</f>
        <v>19500</v>
      </c>
      <c r="BN117" s="41">
        <f t="shared" si="299"/>
        <v>18500</v>
      </c>
      <c r="BO117" s="44">
        <v>1000</v>
      </c>
      <c r="BP117" s="43">
        <f>50568+600</f>
        <v>51168</v>
      </c>
      <c r="BQ117" s="43">
        <f>1400+51168+5000</f>
        <v>57568</v>
      </c>
      <c r="BR117" s="41">
        <f t="shared" si="300"/>
        <v>50168</v>
      </c>
      <c r="BS117" s="17">
        <f t="shared" si="303"/>
        <v>3000</v>
      </c>
      <c r="BT117" s="18">
        <v>77068</v>
      </c>
      <c r="BU117" s="18">
        <f t="shared" si="303"/>
        <v>77068</v>
      </c>
      <c r="BV117" s="20">
        <f t="shared" si="301"/>
        <v>74068</v>
      </c>
      <c r="BW117" s="17">
        <f t="shared" si="304"/>
        <v>6000</v>
      </c>
      <c r="BX117" s="18">
        <f t="shared" si="304"/>
        <v>115330</v>
      </c>
      <c r="BY117" s="18">
        <f t="shared" si="304"/>
        <v>115330</v>
      </c>
      <c r="BZ117" s="20">
        <f t="shared" si="239"/>
        <v>109330</v>
      </c>
      <c r="CA117" s="17">
        <f t="shared" si="316"/>
        <v>24000</v>
      </c>
      <c r="CB117" s="18">
        <f t="shared" si="316"/>
        <v>268069.07</v>
      </c>
      <c r="CC117" s="43">
        <f t="shared" si="316"/>
        <v>268069.07</v>
      </c>
      <c r="CD117" s="20">
        <f t="shared" si="318"/>
        <v>244069.07</v>
      </c>
      <c r="CG117" s="93"/>
      <c r="CH117" s="93"/>
      <c r="CJ117" s="91">
        <f t="shared" si="317"/>
        <v>3000</v>
      </c>
      <c r="CK117" s="91">
        <f t="shared" si="317"/>
        <v>70668</v>
      </c>
      <c r="CL117" s="91">
        <f t="shared" si="317"/>
        <v>77068</v>
      </c>
      <c r="CM117" s="91">
        <f t="shared" si="317"/>
        <v>67668</v>
      </c>
      <c r="CN117" s="91">
        <f t="shared" si="268"/>
        <v>24000</v>
      </c>
      <c r="CO117" s="91">
        <f t="shared" si="268"/>
        <v>261669.07</v>
      </c>
      <c r="CP117" s="91">
        <f t="shared" si="268"/>
        <v>268069.07</v>
      </c>
      <c r="CQ117" s="91">
        <f t="shared" si="268"/>
        <v>237669.07</v>
      </c>
    </row>
    <row r="118" spans="1:95" ht="16.5" x14ac:dyDescent="0.3">
      <c r="A118" s="49" t="s">
        <v>110</v>
      </c>
      <c r="B118" s="38" t="s">
        <v>162</v>
      </c>
      <c r="C118" s="174">
        <v>1000</v>
      </c>
      <c r="D118" s="18"/>
      <c r="E118" s="43"/>
      <c r="F118" s="170">
        <f t="shared" si="256"/>
        <v>-1000</v>
      </c>
      <c r="G118" s="83">
        <v>1000</v>
      </c>
      <c r="H118" s="18"/>
      <c r="I118" s="43"/>
      <c r="J118" s="19">
        <f t="shared" si="257"/>
        <v>-1000</v>
      </c>
      <c r="K118" s="17">
        <v>1000</v>
      </c>
      <c r="L118" s="18">
        <f>11256.75+10260</f>
        <v>21516.75</v>
      </c>
      <c r="M118" s="43">
        <f>10260+1000+11256</f>
        <v>22516</v>
      </c>
      <c r="N118" s="19">
        <f t="shared" si="283"/>
        <v>20516.75</v>
      </c>
      <c r="O118" s="17">
        <f t="shared" si="284"/>
        <v>3000</v>
      </c>
      <c r="P118" s="43">
        <f t="shared" si="285"/>
        <v>21516.75</v>
      </c>
      <c r="Q118" s="43">
        <f t="shared" si="285"/>
        <v>22516</v>
      </c>
      <c r="R118" s="19">
        <f t="shared" si="286"/>
        <v>18516.75</v>
      </c>
      <c r="S118" s="17">
        <v>1000</v>
      </c>
      <c r="T118" s="18">
        <f>610.5+2587+610.5</f>
        <v>3808</v>
      </c>
      <c r="U118" s="43">
        <v>2587</v>
      </c>
      <c r="V118" s="19">
        <f t="shared" si="287"/>
        <v>2808</v>
      </c>
      <c r="W118" s="17">
        <v>1000</v>
      </c>
      <c r="X118" s="18">
        <v>2827</v>
      </c>
      <c r="Y118" s="37">
        <v>2827</v>
      </c>
      <c r="Z118" s="18">
        <f t="shared" si="288"/>
        <v>1827</v>
      </c>
      <c r="AA118" s="83">
        <v>1000</v>
      </c>
      <c r="AB118" s="18"/>
      <c r="AC118" s="43"/>
      <c r="AD118" s="19">
        <f t="shared" si="289"/>
        <v>-1000</v>
      </c>
      <c r="AE118" s="17">
        <f t="shared" si="313"/>
        <v>3000</v>
      </c>
      <c r="AF118" s="18">
        <f t="shared" si="313"/>
        <v>6635</v>
      </c>
      <c r="AG118" s="18">
        <f t="shared" si="313"/>
        <v>5414</v>
      </c>
      <c r="AH118" s="19">
        <f t="shared" si="290"/>
        <v>3635</v>
      </c>
      <c r="AI118" s="17">
        <f t="shared" si="314"/>
        <v>6000</v>
      </c>
      <c r="AJ118" s="18">
        <f t="shared" si="314"/>
        <v>28151.75</v>
      </c>
      <c r="AK118" s="18">
        <f t="shared" si="314"/>
        <v>27930</v>
      </c>
      <c r="AL118" s="19">
        <f t="shared" si="291"/>
        <v>22151.75</v>
      </c>
      <c r="AM118" s="17">
        <v>1000</v>
      </c>
      <c r="AN118" s="18">
        <v>2800</v>
      </c>
      <c r="AO118" s="18">
        <v>2800</v>
      </c>
      <c r="AP118" s="20">
        <f t="shared" si="292"/>
        <v>1800</v>
      </c>
      <c r="AQ118" s="17">
        <v>1000</v>
      </c>
      <c r="AR118" s="18"/>
      <c r="AS118" s="43"/>
      <c r="AT118" s="20">
        <f t="shared" si="293"/>
        <v>-1000</v>
      </c>
      <c r="AU118" s="17">
        <v>1000</v>
      </c>
      <c r="AV118" s="18">
        <v>1780</v>
      </c>
      <c r="AW118" s="43">
        <v>1780</v>
      </c>
      <c r="AX118" s="20">
        <f t="shared" si="294"/>
        <v>780</v>
      </c>
      <c r="AY118" s="17">
        <f t="shared" si="315"/>
        <v>3000</v>
      </c>
      <c r="AZ118" s="18">
        <f t="shared" si="315"/>
        <v>4580</v>
      </c>
      <c r="BA118" s="18">
        <f t="shared" si="315"/>
        <v>4580</v>
      </c>
      <c r="BB118" s="19">
        <f t="shared" si="295"/>
        <v>1580</v>
      </c>
      <c r="BC118" s="194">
        <f t="shared" si="296"/>
        <v>9000</v>
      </c>
      <c r="BD118" s="124">
        <f t="shared" si="296"/>
        <v>32731.75</v>
      </c>
      <c r="BE118" s="124">
        <f t="shared" si="296"/>
        <v>32510</v>
      </c>
      <c r="BF118" s="170">
        <f t="shared" si="297"/>
        <v>23731.75</v>
      </c>
      <c r="BG118" s="83">
        <v>1000</v>
      </c>
      <c r="BH118" s="18"/>
      <c r="BI118" s="43"/>
      <c r="BJ118" s="41">
        <f t="shared" si="298"/>
        <v>-1000</v>
      </c>
      <c r="BK118" s="44">
        <v>1000</v>
      </c>
      <c r="BL118" s="43">
        <f>1782+2199</f>
        <v>3981</v>
      </c>
      <c r="BM118" s="43">
        <f>1782+2199</f>
        <v>3981</v>
      </c>
      <c r="BN118" s="41">
        <f t="shared" si="299"/>
        <v>2981</v>
      </c>
      <c r="BO118" s="44">
        <v>1000</v>
      </c>
      <c r="BP118" s="43"/>
      <c r="BQ118" s="43"/>
      <c r="BR118" s="41">
        <f t="shared" si="300"/>
        <v>-1000</v>
      </c>
      <c r="BS118" s="17">
        <f t="shared" si="303"/>
        <v>3000</v>
      </c>
      <c r="BT118" s="18">
        <f t="shared" si="303"/>
        <v>3981</v>
      </c>
      <c r="BU118" s="18">
        <f t="shared" si="303"/>
        <v>3981</v>
      </c>
      <c r="BV118" s="20">
        <f t="shared" si="301"/>
        <v>981</v>
      </c>
      <c r="BW118" s="17">
        <f t="shared" si="304"/>
        <v>6000</v>
      </c>
      <c r="BX118" s="18">
        <f t="shared" si="304"/>
        <v>8561</v>
      </c>
      <c r="BY118" s="18">
        <f t="shared" si="304"/>
        <v>8561</v>
      </c>
      <c r="BZ118" s="20">
        <f t="shared" si="239"/>
        <v>2561</v>
      </c>
      <c r="CA118" s="17">
        <f t="shared" si="316"/>
        <v>12000</v>
      </c>
      <c r="CB118" s="18">
        <f t="shared" si="316"/>
        <v>36712.75</v>
      </c>
      <c r="CC118" s="43">
        <f t="shared" si="316"/>
        <v>36491</v>
      </c>
      <c r="CD118" s="20">
        <f t="shared" si="318"/>
        <v>24712.75</v>
      </c>
      <c r="CG118" s="93"/>
      <c r="CH118" s="93"/>
      <c r="CJ118" s="91">
        <f t="shared" si="317"/>
        <v>3000</v>
      </c>
      <c r="CK118" s="91">
        <f t="shared" si="317"/>
        <v>3981</v>
      </c>
      <c r="CL118" s="91">
        <f t="shared" si="317"/>
        <v>3981</v>
      </c>
      <c r="CM118" s="91">
        <f t="shared" si="317"/>
        <v>981</v>
      </c>
      <c r="CN118" s="91">
        <f t="shared" si="268"/>
        <v>12000</v>
      </c>
      <c r="CO118" s="91">
        <f t="shared" si="268"/>
        <v>36712.75</v>
      </c>
      <c r="CP118" s="91">
        <f t="shared" si="268"/>
        <v>36491</v>
      </c>
      <c r="CQ118" s="91">
        <f t="shared" si="268"/>
        <v>24712.75</v>
      </c>
    </row>
    <row r="119" spans="1:95" ht="25.5" x14ac:dyDescent="0.3">
      <c r="A119" s="49" t="s">
        <v>114</v>
      </c>
      <c r="B119" s="38" t="s">
        <v>117</v>
      </c>
      <c r="C119" s="174">
        <v>10000</v>
      </c>
      <c r="D119" s="18">
        <f>400+2650+2200+1335.3</f>
        <v>6585.3</v>
      </c>
      <c r="E119" s="43">
        <f>2650+3100+1335.3</f>
        <v>7085.3</v>
      </c>
      <c r="F119" s="170">
        <f t="shared" si="256"/>
        <v>-3414.7</v>
      </c>
      <c r="G119" s="83">
        <v>10000</v>
      </c>
      <c r="H119" s="18">
        <f>500+44600+500+2250+56</f>
        <v>47906</v>
      </c>
      <c r="I119" s="43">
        <f>2750+44600+56</f>
        <v>47406</v>
      </c>
      <c r="J119" s="19">
        <f t="shared" si="257"/>
        <v>37906</v>
      </c>
      <c r="K119" s="17">
        <v>10000</v>
      </c>
      <c r="L119" s="18">
        <v>3080.8</v>
      </c>
      <c r="M119" s="43">
        <v>3080.8</v>
      </c>
      <c r="N119" s="19">
        <f t="shared" si="283"/>
        <v>-6919.2</v>
      </c>
      <c r="O119" s="17">
        <f t="shared" si="284"/>
        <v>30000</v>
      </c>
      <c r="P119" s="43">
        <f t="shared" si="285"/>
        <v>57572.100000000006</v>
      </c>
      <c r="Q119" s="43">
        <f t="shared" si="285"/>
        <v>57572.100000000006</v>
      </c>
      <c r="R119" s="19">
        <f t="shared" si="286"/>
        <v>27572.100000000006</v>
      </c>
      <c r="S119" s="17">
        <v>10000</v>
      </c>
      <c r="T119" s="18"/>
      <c r="U119" s="43"/>
      <c r="V119" s="19">
        <f t="shared" si="287"/>
        <v>-10000</v>
      </c>
      <c r="W119" s="17">
        <v>10000</v>
      </c>
      <c r="X119" s="18"/>
      <c r="Y119" s="37"/>
      <c r="Z119" s="18">
        <f t="shared" si="288"/>
        <v>-10000</v>
      </c>
      <c r="AA119" s="83">
        <v>10000</v>
      </c>
      <c r="AB119" s="18">
        <v>2900</v>
      </c>
      <c r="AC119" s="43">
        <v>2900</v>
      </c>
      <c r="AD119" s="19">
        <f t="shared" si="289"/>
        <v>-7100</v>
      </c>
      <c r="AE119" s="17">
        <f t="shared" si="313"/>
        <v>30000</v>
      </c>
      <c r="AF119" s="18">
        <f t="shared" si="313"/>
        <v>2900</v>
      </c>
      <c r="AG119" s="18">
        <f t="shared" si="313"/>
        <v>2900</v>
      </c>
      <c r="AH119" s="19">
        <f t="shared" si="290"/>
        <v>-27100</v>
      </c>
      <c r="AI119" s="17">
        <f t="shared" si="314"/>
        <v>60000</v>
      </c>
      <c r="AJ119" s="18">
        <f t="shared" si="314"/>
        <v>60472.100000000006</v>
      </c>
      <c r="AK119" s="18">
        <f t="shared" si="314"/>
        <v>60472.100000000006</v>
      </c>
      <c r="AL119" s="19">
        <f t="shared" si="291"/>
        <v>472.10000000000582</v>
      </c>
      <c r="AM119" s="17">
        <v>10000</v>
      </c>
      <c r="AN119" s="18">
        <f>3790</f>
        <v>3790</v>
      </c>
      <c r="AO119" s="18">
        <f>3790</f>
        <v>3790</v>
      </c>
      <c r="AP119" s="20">
        <f t="shared" si="292"/>
        <v>-6210</v>
      </c>
      <c r="AQ119" s="17">
        <v>10000</v>
      </c>
      <c r="AR119" s="18">
        <v>939.25</v>
      </c>
      <c r="AS119" s="43">
        <v>939.25</v>
      </c>
      <c r="AT119" s="20">
        <f t="shared" si="293"/>
        <v>-9060.75</v>
      </c>
      <c r="AU119" s="17">
        <v>10000</v>
      </c>
      <c r="AV119" s="18">
        <f>2350+1620+4315.2+1273.3</f>
        <v>9558.5</v>
      </c>
      <c r="AW119" s="43">
        <f>2350+1620+4315.2+1273.3</f>
        <v>9558.5</v>
      </c>
      <c r="AX119" s="20">
        <f t="shared" si="294"/>
        <v>-441.5</v>
      </c>
      <c r="AY119" s="17">
        <f t="shared" si="315"/>
        <v>30000</v>
      </c>
      <c r="AZ119" s="18">
        <f t="shared" si="315"/>
        <v>14287.75</v>
      </c>
      <c r="BA119" s="18">
        <f t="shared" si="315"/>
        <v>14287.75</v>
      </c>
      <c r="BB119" s="19">
        <f t="shared" si="295"/>
        <v>-15712.25</v>
      </c>
      <c r="BC119" s="194">
        <f t="shared" si="296"/>
        <v>90000</v>
      </c>
      <c r="BD119" s="124">
        <f t="shared" si="296"/>
        <v>74759.850000000006</v>
      </c>
      <c r="BE119" s="124">
        <f t="shared" si="296"/>
        <v>74759.850000000006</v>
      </c>
      <c r="BF119" s="170">
        <f t="shared" si="297"/>
        <v>-15240.149999999994</v>
      </c>
      <c r="BG119" s="83">
        <v>10000</v>
      </c>
      <c r="BH119" s="18"/>
      <c r="BI119" s="43"/>
      <c r="BJ119" s="41">
        <f t="shared" si="298"/>
        <v>-10000</v>
      </c>
      <c r="BK119" s="44">
        <v>10000</v>
      </c>
      <c r="BL119" s="43">
        <f>3450+2156+250+2030+7809</f>
        <v>15695</v>
      </c>
      <c r="BM119" s="43">
        <f>3700+3936+2650+8059</f>
        <v>18345</v>
      </c>
      <c r="BN119" s="41">
        <f t="shared" si="299"/>
        <v>5695</v>
      </c>
      <c r="BO119" s="44">
        <v>10000</v>
      </c>
      <c r="BP119" s="43">
        <f>257+66291.48+2650</f>
        <v>69198.48</v>
      </c>
      <c r="BQ119" s="43">
        <f>66291.48+257</f>
        <v>66548.479999999996</v>
      </c>
      <c r="BR119" s="41">
        <f t="shared" si="300"/>
        <v>59198.479999999996</v>
      </c>
      <c r="BS119" s="17">
        <f t="shared" si="303"/>
        <v>30000</v>
      </c>
      <c r="BT119" s="18">
        <f t="shared" si="303"/>
        <v>84893.48</v>
      </c>
      <c r="BU119" s="18">
        <f t="shared" si="303"/>
        <v>84893.48</v>
      </c>
      <c r="BV119" s="20">
        <f t="shared" si="301"/>
        <v>54893.479999999996</v>
      </c>
      <c r="BW119" s="17">
        <f t="shared" si="304"/>
        <v>60000</v>
      </c>
      <c r="BX119" s="18">
        <f t="shared" si="304"/>
        <v>99181.23</v>
      </c>
      <c r="BY119" s="18">
        <f t="shared" si="304"/>
        <v>99181.23</v>
      </c>
      <c r="BZ119" s="20">
        <f t="shared" si="239"/>
        <v>39181.229999999996</v>
      </c>
      <c r="CA119" s="17">
        <f t="shared" si="316"/>
        <v>120000</v>
      </c>
      <c r="CB119" s="18">
        <f t="shared" si="316"/>
        <v>159653.33000000002</v>
      </c>
      <c r="CC119" s="43">
        <f t="shared" si="316"/>
        <v>159653.33000000002</v>
      </c>
      <c r="CD119" s="20">
        <f t="shared" si="318"/>
        <v>39653.330000000016</v>
      </c>
      <c r="CG119" s="93"/>
      <c r="CH119" s="93"/>
      <c r="CJ119" s="91">
        <f t="shared" si="317"/>
        <v>30000</v>
      </c>
      <c r="CK119" s="91">
        <f t="shared" si="317"/>
        <v>84893.48</v>
      </c>
      <c r="CL119" s="91">
        <f t="shared" si="317"/>
        <v>84893.48</v>
      </c>
      <c r="CM119" s="91">
        <f t="shared" si="317"/>
        <v>54893.479999999996</v>
      </c>
      <c r="CN119" s="91">
        <f t="shared" si="268"/>
        <v>120000</v>
      </c>
      <c r="CO119" s="91">
        <f t="shared" si="268"/>
        <v>159653.33000000002</v>
      </c>
      <c r="CP119" s="91">
        <f t="shared" si="268"/>
        <v>159653.33000000002</v>
      </c>
      <c r="CQ119" s="91">
        <f t="shared" si="268"/>
        <v>39653.33</v>
      </c>
    </row>
    <row r="120" spans="1:95" ht="16.5" x14ac:dyDescent="0.3">
      <c r="A120" s="49" t="s">
        <v>115</v>
      </c>
      <c r="B120" s="38" t="s">
        <v>119</v>
      </c>
      <c r="C120" s="174">
        <v>1500</v>
      </c>
      <c r="D120" s="18">
        <v>2307.04</v>
      </c>
      <c r="E120" s="43">
        <v>2307.04</v>
      </c>
      <c r="F120" s="170">
        <f t="shared" si="256"/>
        <v>807.04</v>
      </c>
      <c r="G120" s="83">
        <v>1500</v>
      </c>
      <c r="H120" s="18">
        <v>1211</v>
      </c>
      <c r="I120" s="43">
        <v>1211</v>
      </c>
      <c r="J120" s="19">
        <f t="shared" si="257"/>
        <v>-289</v>
      </c>
      <c r="K120" s="17">
        <v>1500</v>
      </c>
      <c r="L120" s="18">
        <v>2854.98</v>
      </c>
      <c r="M120" s="43">
        <v>2854.98</v>
      </c>
      <c r="N120" s="19">
        <f t="shared" si="283"/>
        <v>1354.98</v>
      </c>
      <c r="O120" s="17">
        <f t="shared" si="284"/>
        <v>4500</v>
      </c>
      <c r="P120" s="43">
        <f t="shared" si="285"/>
        <v>6373.02</v>
      </c>
      <c r="Q120" s="43">
        <f t="shared" si="285"/>
        <v>6373.02</v>
      </c>
      <c r="R120" s="19">
        <f t="shared" si="286"/>
        <v>1873.0200000000004</v>
      </c>
      <c r="S120" s="17">
        <v>1500</v>
      </c>
      <c r="T120" s="18">
        <v>132.5</v>
      </c>
      <c r="U120" s="43">
        <v>132.5</v>
      </c>
      <c r="V120" s="19">
        <f t="shared" si="287"/>
        <v>-1367.5</v>
      </c>
      <c r="W120" s="17">
        <v>1500</v>
      </c>
      <c r="X120" s="18"/>
      <c r="Y120" s="37"/>
      <c r="Z120" s="18">
        <f t="shared" si="288"/>
        <v>-1500</v>
      </c>
      <c r="AA120" s="83">
        <v>1500</v>
      </c>
      <c r="AB120" s="18"/>
      <c r="AC120" s="43"/>
      <c r="AD120" s="19">
        <f t="shared" si="289"/>
        <v>-1500</v>
      </c>
      <c r="AE120" s="17">
        <f t="shared" si="313"/>
        <v>4500</v>
      </c>
      <c r="AF120" s="18">
        <f t="shared" si="313"/>
        <v>132.5</v>
      </c>
      <c r="AG120" s="18">
        <f t="shared" si="313"/>
        <v>132.5</v>
      </c>
      <c r="AH120" s="19">
        <f t="shared" si="290"/>
        <v>-4367.5</v>
      </c>
      <c r="AI120" s="17">
        <f t="shared" si="314"/>
        <v>9000</v>
      </c>
      <c r="AJ120" s="18">
        <f t="shared" si="314"/>
        <v>6505.52</v>
      </c>
      <c r="AK120" s="18">
        <f t="shared" si="314"/>
        <v>6505.52</v>
      </c>
      <c r="AL120" s="19">
        <f t="shared" si="291"/>
        <v>-2494.4799999999996</v>
      </c>
      <c r="AM120" s="17">
        <v>1500</v>
      </c>
      <c r="AN120" s="18">
        <f>245+2329.99</f>
        <v>2574.9899999999998</v>
      </c>
      <c r="AO120" s="18">
        <f>245+2329.99</f>
        <v>2574.9899999999998</v>
      </c>
      <c r="AP120" s="20">
        <f t="shared" si="292"/>
        <v>1074.9899999999998</v>
      </c>
      <c r="AQ120" s="17">
        <v>1500</v>
      </c>
      <c r="AR120" s="18">
        <v>95</v>
      </c>
      <c r="AS120" s="43">
        <v>95</v>
      </c>
      <c r="AT120" s="20">
        <f t="shared" si="293"/>
        <v>-1405</v>
      </c>
      <c r="AU120" s="17">
        <v>1500</v>
      </c>
      <c r="AV120" s="18">
        <v>2637.4</v>
      </c>
      <c r="AW120" s="43">
        <f>2550.4+87</f>
        <v>2637.4</v>
      </c>
      <c r="AX120" s="20">
        <f t="shared" si="294"/>
        <v>1137.4000000000001</v>
      </c>
      <c r="AY120" s="17">
        <f t="shared" si="315"/>
        <v>4500</v>
      </c>
      <c r="AZ120" s="18">
        <f t="shared" si="315"/>
        <v>5307.3899999999994</v>
      </c>
      <c r="BA120" s="18">
        <f t="shared" si="315"/>
        <v>5307.3899999999994</v>
      </c>
      <c r="BB120" s="19">
        <f t="shared" si="295"/>
        <v>807.38999999999942</v>
      </c>
      <c r="BC120" s="194">
        <f t="shared" si="296"/>
        <v>13500</v>
      </c>
      <c r="BD120" s="124">
        <f t="shared" si="296"/>
        <v>11812.91</v>
      </c>
      <c r="BE120" s="124">
        <f t="shared" si="296"/>
        <v>11812.91</v>
      </c>
      <c r="BF120" s="170">
        <f t="shared" si="297"/>
        <v>-1687.0900000000001</v>
      </c>
      <c r="BG120" s="83">
        <v>1500</v>
      </c>
      <c r="BH120" s="18"/>
      <c r="BI120" s="43"/>
      <c r="BJ120" s="41">
        <f t="shared" si="298"/>
        <v>-1500</v>
      </c>
      <c r="BK120" s="44">
        <v>1500</v>
      </c>
      <c r="BL120" s="43">
        <v>2519.75</v>
      </c>
      <c r="BM120" s="43">
        <v>2519.75</v>
      </c>
      <c r="BN120" s="41">
        <f t="shared" si="299"/>
        <v>1019.75</v>
      </c>
      <c r="BO120" s="44">
        <v>1500</v>
      </c>
      <c r="BP120" s="43">
        <v>4085.4</v>
      </c>
      <c r="BQ120" s="43">
        <v>4085.4</v>
      </c>
      <c r="BR120" s="41">
        <f t="shared" si="300"/>
        <v>2585.4</v>
      </c>
      <c r="BS120" s="17">
        <f t="shared" si="303"/>
        <v>4500</v>
      </c>
      <c r="BT120" s="18">
        <f t="shared" si="303"/>
        <v>6605.15</v>
      </c>
      <c r="BU120" s="18">
        <f t="shared" si="303"/>
        <v>6605.15</v>
      </c>
      <c r="BV120" s="20">
        <f t="shared" si="301"/>
        <v>2105.1499999999996</v>
      </c>
      <c r="BW120" s="17">
        <f t="shared" si="304"/>
        <v>9000</v>
      </c>
      <c r="BX120" s="18">
        <f t="shared" si="304"/>
        <v>11912.539999999999</v>
      </c>
      <c r="BY120" s="18">
        <f t="shared" si="304"/>
        <v>11912.539999999999</v>
      </c>
      <c r="BZ120" s="20">
        <f t="shared" si="239"/>
        <v>2912.5399999999991</v>
      </c>
      <c r="CA120" s="17">
        <f t="shared" si="316"/>
        <v>18000</v>
      </c>
      <c r="CB120" s="18">
        <f t="shared" si="316"/>
        <v>18418.059999999998</v>
      </c>
      <c r="CC120" s="43">
        <f t="shared" si="316"/>
        <v>18418.059999999998</v>
      </c>
      <c r="CD120" s="20">
        <f t="shared" si="318"/>
        <v>418.05999999999767</v>
      </c>
      <c r="CG120" s="93"/>
      <c r="CH120" s="93"/>
      <c r="CJ120" s="91">
        <f t="shared" si="317"/>
        <v>4500</v>
      </c>
      <c r="CK120" s="91">
        <f t="shared" si="317"/>
        <v>6605.15</v>
      </c>
      <c r="CL120" s="91">
        <f t="shared" si="317"/>
        <v>6605.15</v>
      </c>
      <c r="CM120" s="91">
        <f t="shared" si="317"/>
        <v>2105.15</v>
      </c>
      <c r="CN120" s="91">
        <f t="shared" si="268"/>
        <v>18000</v>
      </c>
      <c r="CO120" s="91">
        <f t="shared" si="268"/>
        <v>18418.059999999998</v>
      </c>
      <c r="CP120" s="91">
        <f t="shared" si="268"/>
        <v>18418.059999999998</v>
      </c>
      <c r="CQ120" s="91">
        <f t="shared" si="268"/>
        <v>418.05999999999995</v>
      </c>
    </row>
    <row r="121" spans="1:95" ht="16.5" x14ac:dyDescent="0.3">
      <c r="A121" s="49" t="s">
        <v>116</v>
      </c>
      <c r="B121" s="38" t="s">
        <v>121</v>
      </c>
      <c r="C121" s="174">
        <v>6000</v>
      </c>
      <c r="D121" s="18">
        <v>3654.5</v>
      </c>
      <c r="E121" s="43">
        <f>78+3576.5</f>
        <v>3654.5</v>
      </c>
      <c r="F121" s="170">
        <f t="shared" si="256"/>
        <v>-2345.5</v>
      </c>
      <c r="G121" s="83">
        <v>6000</v>
      </c>
      <c r="H121" s="43">
        <v>3733.7</v>
      </c>
      <c r="I121" s="43">
        <v>3733.7</v>
      </c>
      <c r="J121" s="19">
        <f t="shared" si="257"/>
        <v>-2266.3000000000002</v>
      </c>
      <c r="K121" s="17">
        <v>6000</v>
      </c>
      <c r="L121" s="18">
        <v>3994.17</v>
      </c>
      <c r="M121" s="43">
        <v>3994.17</v>
      </c>
      <c r="N121" s="19">
        <f t="shared" si="283"/>
        <v>-2005.83</v>
      </c>
      <c r="O121" s="17">
        <f t="shared" si="284"/>
        <v>18000</v>
      </c>
      <c r="P121" s="43">
        <f t="shared" si="285"/>
        <v>11382.369999999999</v>
      </c>
      <c r="Q121" s="43">
        <f t="shared" si="285"/>
        <v>11382.369999999999</v>
      </c>
      <c r="R121" s="19">
        <f t="shared" si="286"/>
        <v>-6617.630000000001</v>
      </c>
      <c r="S121" s="17">
        <v>6000</v>
      </c>
      <c r="T121" s="18">
        <v>6000.92</v>
      </c>
      <c r="U121" s="43">
        <v>6000.92</v>
      </c>
      <c r="V121" s="19">
        <f t="shared" si="287"/>
        <v>0.92000000000007276</v>
      </c>
      <c r="W121" s="17">
        <v>6000</v>
      </c>
      <c r="X121" s="18">
        <v>3718.55</v>
      </c>
      <c r="Y121" s="37">
        <v>3718.55</v>
      </c>
      <c r="Z121" s="18">
        <f t="shared" si="288"/>
        <v>-2281.4499999999998</v>
      </c>
      <c r="AA121" s="83">
        <v>6000</v>
      </c>
      <c r="AB121" s="18">
        <v>3654.42</v>
      </c>
      <c r="AC121" s="43">
        <v>3654.42</v>
      </c>
      <c r="AD121" s="19">
        <f t="shared" si="289"/>
        <v>-2345.58</v>
      </c>
      <c r="AE121" s="17">
        <f t="shared" si="313"/>
        <v>18000</v>
      </c>
      <c r="AF121" s="18">
        <f t="shared" si="313"/>
        <v>13373.890000000001</v>
      </c>
      <c r="AG121" s="18">
        <f t="shared" si="313"/>
        <v>13373.890000000001</v>
      </c>
      <c r="AH121" s="19">
        <f t="shared" si="290"/>
        <v>-4626.1099999999988</v>
      </c>
      <c r="AI121" s="17">
        <f t="shared" si="314"/>
        <v>36000</v>
      </c>
      <c r="AJ121" s="18">
        <f t="shared" si="314"/>
        <v>24756.260000000002</v>
      </c>
      <c r="AK121" s="18">
        <f t="shared" si="314"/>
        <v>24756.260000000002</v>
      </c>
      <c r="AL121" s="19">
        <f t="shared" si="291"/>
        <v>-11243.739999999998</v>
      </c>
      <c r="AM121" s="17">
        <v>6000</v>
      </c>
      <c r="AN121" s="18">
        <v>3944.41</v>
      </c>
      <c r="AO121" s="18">
        <v>3944.41</v>
      </c>
      <c r="AP121" s="20">
        <f t="shared" si="292"/>
        <v>-2055.59</v>
      </c>
      <c r="AQ121" s="17">
        <v>6000</v>
      </c>
      <c r="AR121" s="18">
        <v>3752.64</v>
      </c>
      <c r="AS121" s="43">
        <v>3752.64</v>
      </c>
      <c r="AT121" s="20">
        <f t="shared" si="293"/>
        <v>-2247.36</v>
      </c>
      <c r="AU121" s="17">
        <v>6000</v>
      </c>
      <c r="AV121" s="18">
        <v>4118.5600000000004</v>
      </c>
      <c r="AW121" s="43">
        <v>4118.5600000000004</v>
      </c>
      <c r="AX121" s="20">
        <f t="shared" si="294"/>
        <v>-1881.4399999999996</v>
      </c>
      <c r="AY121" s="17">
        <f t="shared" si="315"/>
        <v>18000</v>
      </c>
      <c r="AZ121" s="18">
        <f t="shared" si="315"/>
        <v>11815.61</v>
      </c>
      <c r="BA121" s="18">
        <f t="shared" si="315"/>
        <v>11815.61</v>
      </c>
      <c r="BB121" s="19">
        <f t="shared" si="295"/>
        <v>-6184.3899999999994</v>
      </c>
      <c r="BC121" s="194">
        <f t="shared" si="296"/>
        <v>54000</v>
      </c>
      <c r="BD121" s="124">
        <f t="shared" si="296"/>
        <v>36571.870000000003</v>
      </c>
      <c r="BE121" s="124">
        <f t="shared" si="296"/>
        <v>36571.870000000003</v>
      </c>
      <c r="BF121" s="170">
        <f t="shared" si="297"/>
        <v>-17428.129999999997</v>
      </c>
      <c r="BG121" s="83">
        <v>6000</v>
      </c>
      <c r="BH121" s="18">
        <v>1874.35</v>
      </c>
      <c r="BI121" s="43">
        <v>1874.35</v>
      </c>
      <c r="BJ121" s="41">
        <f t="shared" si="298"/>
        <v>-4125.6499999999996</v>
      </c>
      <c r="BK121" s="44">
        <v>6000</v>
      </c>
      <c r="BL121" s="43">
        <v>4293.92</v>
      </c>
      <c r="BM121" s="43">
        <v>4293.92</v>
      </c>
      <c r="BN121" s="41">
        <f t="shared" si="299"/>
        <v>-1706.08</v>
      </c>
      <c r="BO121" s="44">
        <v>6000</v>
      </c>
      <c r="BP121" s="43">
        <v>6998.72</v>
      </c>
      <c r="BQ121" s="43">
        <v>6998.72</v>
      </c>
      <c r="BR121" s="41">
        <f t="shared" si="300"/>
        <v>998.72000000000025</v>
      </c>
      <c r="BS121" s="17">
        <f t="shared" si="303"/>
        <v>18000</v>
      </c>
      <c r="BT121" s="18">
        <f t="shared" si="303"/>
        <v>13166.990000000002</v>
      </c>
      <c r="BU121" s="18">
        <f t="shared" si="303"/>
        <v>13166.990000000002</v>
      </c>
      <c r="BV121" s="20">
        <f t="shared" si="301"/>
        <v>-4833.0099999999984</v>
      </c>
      <c r="BW121" s="17">
        <f t="shared" si="304"/>
        <v>36000</v>
      </c>
      <c r="BX121" s="18">
        <f t="shared" si="304"/>
        <v>24982.600000000002</v>
      </c>
      <c r="BY121" s="18">
        <f t="shared" si="304"/>
        <v>24982.600000000002</v>
      </c>
      <c r="BZ121" s="20">
        <f t="shared" si="239"/>
        <v>-11017.399999999998</v>
      </c>
      <c r="CA121" s="17">
        <f t="shared" si="316"/>
        <v>72000</v>
      </c>
      <c r="CB121" s="18">
        <f t="shared" si="316"/>
        <v>49738.86</v>
      </c>
      <c r="CC121" s="43">
        <f t="shared" si="316"/>
        <v>49738.86</v>
      </c>
      <c r="CD121" s="20">
        <f t="shared" si="318"/>
        <v>-22261.14</v>
      </c>
      <c r="CG121" s="93"/>
      <c r="CH121" s="93"/>
      <c r="CJ121" s="91">
        <f t="shared" si="317"/>
        <v>18000</v>
      </c>
      <c r="CK121" s="91">
        <f t="shared" si="317"/>
        <v>13166.990000000002</v>
      </c>
      <c r="CL121" s="91">
        <f t="shared" si="317"/>
        <v>13166.990000000002</v>
      </c>
      <c r="CM121" s="91">
        <f t="shared" si="317"/>
        <v>-4833.0099999999993</v>
      </c>
      <c r="CN121" s="91">
        <f t="shared" si="268"/>
        <v>72000</v>
      </c>
      <c r="CO121" s="91">
        <f t="shared" si="268"/>
        <v>49738.86</v>
      </c>
      <c r="CP121" s="91">
        <f t="shared" si="268"/>
        <v>49738.86</v>
      </c>
      <c r="CQ121" s="91">
        <f t="shared" si="268"/>
        <v>-22261.139999999996</v>
      </c>
    </row>
    <row r="122" spans="1:95" ht="16.5" x14ac:dyDescent="0.3">
      <c r="A122" s="49" t="s">
        <v>118</v>
      </c>
      <c r="B122" s="38" t="s">
        <v>123</v>
      </c>
      <c r="C122" s="174">
        <v>3500</v>
      </c>
      <c r="D122" s="18">
        <f>1500+1781.71</f>
        <v>3281.71</v>
      </c>
      <c r="E122" s="43">
        <v>3500</v>
      </c>
      <c r="F122" s="170">
        <f t="shared" si="256"/>
        <v>-218.28999999999996</v>
      </c>
      <c r="G122" s="83">
        <v>3500</v>
      </c>
      <c r="H122" s="18">
        <f>1916.55+1500</f>
        <v>3416.55</v>
      </c>
      <c r="I122" s="43">
        <v>3500</v>
      </c>
      <c r="J122" s="19">
        <f t="shared" si="257"/>
        <v>-83.449999999999818</v>
      </c>
      <c r="K122" s="17">
        <v>3500</v>
      </c>
      <c r="L122" s="18">
        <f>1500+1896.25</f>
        <v>3396.25</v>
      </c>
      <c r="M122" s="43">
        <v>3500</v>
      </c>
      <c r="N122" s="19">
        <f t="shared" si="283"/>
        <v>-103.75</v>
      </c>
      <c r="O122" s="17">
        <f t="shared" si="284"/>
        <v>10500</v>
      </c>
      <c r="P122" s="43">
        <f t="shared" si="285"/>
        <v>10094.51</v>
      </c>
      <c r="Q122" s="43">
        <f t="shared" si="285"/>
        <v>10500</v>
      </c>
      <c r="R122" s="19">
        <f t="shared" si="286"/>
        <v>-405.48999999999978</v>
      </c>
      <c r="S122" s="17">
        <v>3500</v>
      </c>
      <c r="T122" s="18">
        <f>1500+1711.27</f>
        <v>3211.27</v>
      </c>
      <c r="U122" s="43">
        <v>3500</v>
      </c>
      <c r="V122" s="19">
        <f t="shared" si="287"/>
        <v>-288.73</v>
      </c>
      <c r="W122" s="17">
        <v>3500</v>
      </c>
      <c r="X122" s="18">
        <f>1500+1781.38</f>
        <v>3281.38</v>
      </c>
      <c r="Y122" s="37">
        <v>3500</v>
      </c>
      <c r="Z122" s="18">
        <f t="shared" si="288"/>
        <v>-218.61999999999989</v>
      </c>
      <c r="AA122" s="83">
        <v>3500</v>
      </c>
      <c r="AB122" s="18">
        <f>1500+1853.54</f>
        <v>3353.54</v>
      </c>
      <c r="AC122" s="43">
        <v>3500</v>
      </c>
      <c r="AD122" s="19">
        <f t="shared" si="289"/>
        <v>-146.46000000000004</v>
      </c>
      <c r="AE122" s="17">
        <f t="shared" si="313"/>
        <v>10500</v>
      </c>
      <c r="AF122" s="18">
        <f t="shared" si="313"/>
        <v>9846.1899999999987</v>
      </c>
      <c r="AG122" s="18">
        <f t="shared" si="313"/>
        <v>10500</v>
      </c>
      <c r="AH122" s="19">
        <f t="shared" si="290"/>
        <v>-653.81000000000131</v>
      </c>
      <c r="AI122" s="17">
        <f t="shared" si="314"/>
        <v>21000</v>
      </c>
      <c r="AJ122" s="18">
        <f t="shared" si="314"/>
        <v>19940.699999999997</v>
      </c>
      <c r="AK122" s="18">
        <f t="shared" si="314"/>
        <v>21000</v>
      </c>
      <c r="AL122" s="19">
        <f t="shared" si="291"/>
        <v>-1059.3000000000029</v>
      </c>
      <c r="AM122" s="17">
        <v>3500</v>
      </c>
      <c r="AN122" s="18">
        <f>1500+1860.62</f>
        <v>3360.62</v>
      </c>
      <c r="AO122" s="18">
        <v>3500</v>
      </c>
      <c r="AP122" s="20">
        <f t="shared" si="292"/>
        <v>-139.38000000000011</v>
      </c>
      <c r="AQ122" s="17">
        <v>3500</v>
      </c>
      <c r="AR122" s="18">
        <f>1807.96+1500</f>
        <v>3307.96</v>
      </c>
      <c r="AS122" s="43">
        <v>3500</v>
      </c>
      <c r="AT122" s="20">
        <f t="shared" si="293"/>
        <v>-192.03999999999996</v>
      </c>
      <c r="AU122" s="17">
        <v>3500</v>
      </c>
      <c r="AV122" s="18">
        <v>3493.86</v>
      </c>
      <c r="AW122" s="43">
        <v>3000</v>
      </c>
      <c r="AX122" s="20">
        <f t="shared" si="294"/>
        <v>-6.1399999999998727</v>
      </c>
      <c r="AY122" s="17">
        <f t="shared" si="315"/>
        <v>10500</v>
      </c>
      <c r="AZ122" s="18">
        <f t="shared" si="315"/>
        <v>10162.44</v>
      </c>
      <c r="BA122" s="18">
        <f t="shared" si="315"/>
        <v>10000</v>
      </c>
      <c r="BB122" s="19">
        <f t="shared" si="295"/>
        <v>-337.55999999999949</v>
      </c>
      <c r="BC122" s="194">
        <f t="shared" si="296"/>
        <v>31500</v>
      </c>
      <c r="BD122" s="124">
        <f t="shared" si="296"/>
        <v>30103.14</v>
      </c>
      <c r="BE122" s="124">
        <f t="shared" si="296"/>
        <v>31000</v>
      </c>
      <c r="BF122" s="170">
        <f t="shared" si="297"/>
        <v>-1396.8600000000006</v>
      </c>
      <c r="BG122" s="83">
        <v>3500</v>
      </c>
      <c r="BH122" s="18"/>
      <c r="BI122" s="43"/>
      <c r="BJ122" s="41">
        <f t="shared" si="298"/>
        <v>-3500</v>
      </c>
      <c r="BK122" s="44">
        <v>3500</v>
      </c>
      <c r="BL122" s="43">
        <f>1500+1792.28</f>
        <v>3292.2799999999997</v>
      </c>
      <c r="BM122" s="43">
        <v>6000</v>
      </c>
      <c r="BN122" s="41">
        <f t="shared" si="299"/>
        <v>-207.72000000000025</v>
      </c>
      <c r="BO122" s="44">
        <v>3500</v>
      </c>
      <c r="BP122" s="43">
        <v>3279.91</v>
      </c>
      <c r="BQ122" s="43">
        <v>3500</v>
      </c>
      <c r="BR122" s="41">
        <f t="shared" si="300"/>
        <v>-220.09000000000015</v>
      </c>
      <c r="BS122" s="17">
        <f t="shared" si="303"/>
        <v>10500</v>
      </c>
      <c r="BT122" s="18">
        <f t="shared" si="303"/>
        <v>6572.19</v>
      </c>
      <c r="BU122" s="18">
        <f t="shared" si="303"/>
        <v>9500</v>
      </c>
      <c r="BV122" s="20">
        <f t="shared" si="301"/>
        <v>-3927.8100000000004</v>
      </c>
      <c r="BW122" s="17">
        <f t="shared" si="304"/>
        <v>21000</v>
      </c>
      <c r="BX122" s="18">
        <f t="shared" si="304"/>
        <v>16734.63</v>
      </c>
      <c r="BY122" s="18">
        <f t="shared" si="304"/>
        <v>19500</v>
      </c>
      <c r="BZ122" s="20">
        <f t="shared" si="239"/>
        <v>-4265.369999999999</v>
      </c>
      <c r="CA122" s="17">
        <f t="shared" si="316"/>
        <v>42000</v>
      </c>
      <c r="CB122" s="18">
        <f t="shared" si="316"/>
        <v>36675.33</v>
      </c>
      <c r="CC122" s="43">
        <f t="shared" si="316"/>
        <v>40500</v>
      </c>
      <c r="CD122" s="20">
        <f t="shared" si="318"/>
        <v>-5324.6699999999983</v>
      </c>
      <c r="CG122" s="93"/>
      <c r="CH122" s="93"/>
      <c r="CJ122" s="91">
        <f t="shared" si="317"/>
        <v>10500</v>
      </c>
      <c r="CK122" s="91">
        <f t="shared" si="317"/>
        <v>6572.19</v>
      </c>
      <c r="CL122" s="91">
        <f t="shared" si="317"/>
        <v>9500</v>
      </c>
      <c r="CM122" s="91">
        <f t="shared" si="317"/>
        <v>-3927.8100000000004</v>
      </c>
      <c r="CN122" s="91">
        <f t="shared" si="268"/>
        <v>42000</v>
      </c>
      <c r="CO122" s="91">
        <f t="shared" si="268"/>
        <v>36675.33</v>
      </c>
      <c r="CP122" s="91">
        <f t="shared" si="268"/>
        <v>40500</v>
      </c>
      <c r="CQ122" s="91">
        <f t="shared" si="268"/>
        <v>-5324.670000000001</v>
      </c>
    </row>
    <row r="123" spans="1:95" ht="16.5" hidden="1" customHeight="1" x14ac:dyDescent="0.3">
      <c r="A123" s="49" t="s">
        <v>124</v>
      </c>
      <c r="B123" s="38" t="s">
        <v>125</v>
      </c>
      <c r="C123" s="174"/>
      <c r="D123" s="18"/>
      <c r="E123" s="43"/>
      <c r="F123" s="170">
        <f t="shared" si="256"/>
        <v>0</v>
      </c>
      <c r="G123" s="83"/>
      <c r="H123" s="18"/>
      <c r="I123" s="43"/>
      <c r="J123" s="19">
        <f t="shared" si="257"/>
        <v>0</v>
      </c>
      <c r="K123" s="17"/>
      <c r="L123" s="18"/>
      <c r="M123" s="43"/>
      <c r="N123" s="19">
        <f t="shared" si="283"/>
        <v>0</v>
      </c>
      <c r="O123" s="17">
        <f t="shared" si="284"/>
        <v>0</v>
      </c>
      <c r="P123" s="43">
        <f t="shared" si="285"/>
        <v>0</v>
      </c>
      <c r="Q123" s="43">
        <f t="shared" si="285"/>
        <v>0</v>
      </c>
      <c r="R123" s="19">
        <f t="shared" si="286"/>
        <v>0</v>
      </c>
      <c r="S123" s="17"/>
      <c r="T123" s="18"/>
      <c r="U123" s="43"/>
      <c r="V123" s="19">
        <f t="shared" si="287"/>
        <v>0</v>
      </c>
      <c r="W123" s="17"/>
      <c r="X123" s="18"/>
      <c r="Y123" s="37"/>
      <c r="Z123" s="18">
        <f t="shared" si="288"/>
        <v>0</v>
      </c>
      <c r="AA123" s="83"/>
      <c r="AB123" s="18"/>
      <c r="AC123" s="43"/>
      <c r="AD123" s="19">
        <f t="shared" si="289"/>
        <v>0</v>
      </c>
      <c r="AE123" s="17">
        <f t="shared" si="313"/>
        <v>0</v>
      </c>
      <c r="AF123" s="18">
        <f t="shared" si="313"/>
        <v>0</v>
      </c>
      <c r="AG123" s="18">
        <f t="shared" si="313"/>
        <v>0</v>
      </c>
      <c r="AH123" s="19">
        <f t="shared" si="290"/>
        <v>0</v>
      </c>
      <c r="AI123" s="17">
        <f t="shared" si="314"/>
        <v>0</v>
      </c>
      <c r="AJ123" s="18">
        <f t="shared" si="314"/>
        <v>0</v>
      </c>
      <c r="AK123" s="18">
        <f t="shared" si="314"/>
        <v>0</v>
      </c>
      <c r="AL123" s="19">
        <f t="shared" si="291"/>
        <v>0</v>
      </c>
      <c r="AM123" s="17"/>
      <c r="AN123" s="18"/>
      <c r="AO123" s="18"/>
      <c r="AP123" s="20">
        <f t="shared" si="292"/>
        <v>0</v>
      </c>
      <c r="AQ123" s="17"/>
      <c r="AR123" s="18"/>
      <c r="AS123" s="43"/>
      <c r="AT123" s="20">
        <f t="shared" si="293"/>
        <v>0</v>
      </c>
      <c r="AU123" s="17"/>
      <c r="AV123" s="18"/>
      <c r="AW123" s="43"/>
      <c r="AX123" s="20">
        <f t="shared" si="294"/>
        <v>0</v>
      </c>
      <c r="AY123" s="17">
        <f t="shared" si="315"/>
        <v>0</v>
      </c>
      <c r="AZ123" s="18">
        <f t="shared" si="315"/>
        <v>0</v>
      </c>
      <c r="BA123" s="18">
        <f t="shared" si="315"/>
        <v>0</v>
      </c>
      <c r="BB123" s="19">
        <f t="shared" si="295"/>
        <v>0</v>
      </c>
      <c r="BC123" s="194">
        <f t="shared" si="296"/>
        <v>0</v>
      </c>
      <c r="BD123" s="124">
        <f t="shared" si="296"/>
        <v>0</v>
      </c>
      <c r="BE123" s="124">
        <f t="shared" si="296"/>
        <v>0</v>
      </c>
      <c r="BF123" s="170">
        <f t="shared" si="297"/>
        <v>0</v>
      </c>
      <c r="BG123" s="83"/>
      <c r="BH123" s="18"/>
      <c r="BI123" s="43"/>
      <c r="BJ123" s="41">
        <f t="shared" si="298"/>
        <v>0</v>
      </c>
      <c r="BK123" s="44"/>
      <c r="BL123" s="43"/>
      <c r="BM123" s="43"/>
      <c r="BN123" s="41">
        <f t="shared" si="299"/>
        <v>0</v>
      </c>
      <c r="BO123" s="44"/>
      <c r="BP123" s="43"/>
      <c r="BQ123" s="43"/>
      <c r="BR123" s="41">
        <f t="shared" si="300"/>
        <v>0</v>
      </c>
      <c r="BS123" s="17">
        <f t="shared" si="303"/>
        <v>0</v>
      </c>
      <c r="BT123" s="18">
        <f t="shared" si="303"/>
        <v>0</v>
      </c>
      <c r="BU123" s="18">
        <f t="shared" si="303"/>
        <v>0</v>
      </c>
      <c r="BV123" s="20">
        <f t="shared" si="301"/>
        <v>0</v>
      </c>
      <c r="BW123" s="17">
        <f t="shared" si="304"/>
        <v>0</v>
      </c>
      <c r="BX123" s="18">
        <f t="shared" si="304"/>
        <v>0</v>
      </c>
      <c r="BY123" s="18">
        <f t="shared" si="304"/>
        <v>0</v>
      </c>
      <c r="BZ123" s="20">
        <f t="shared" si="239"/>
        <v>0</v>
      </c>
      <c r="CA123" s="17">
        <f t="shared" si="316"/>
        <v>0</v>
      </c>
      <c r="CB123" s="18">
        <f t="shared" si="316"/>
        <v>0</v>
      </c>
      <c r="CC123" s="43">
        <f t="shared" si="316"/>
        <v>0</v>
      </c>
      <c r="CD123" s="20">
        <f t="shared" si="318"/>
        <v>0</v>
      </c>
      <c r="CG123" s="93"/>
      <c r="CH123" s="93"/>
      <c r="CJ123" s="91">
        <f t="shared" si="317"/>
        <v>0</v>
      </c>
      <c r="CK123" s="91">
        <f t="shared" si="317"/>
        <v>0</v>
      </c>
      <c r="CL123" s="91">
        <f t="shared" si="317"/>
        <v>0</v>
      </c>
      <c r="CM123" s="91">
        <f t="shared" si="317"/>
        <v>0</v>
      </c>
      <c r="CN123" s="91">
        <f t="shared" si="268"/>
        <v>0</v>
      </c>
      <c r="CO123" s="91">
        <f t="shared" si="268"/>
        <v>0</v>
      </c>
      <c r="CP123" s="91">
        <f t="shared" si="268"/>
        <v>0</v>
      </c>
      <c r="CQ123" s="91">
        <f t="shared" si="268"/>
        <v>0</v>
      </c>
    </row>
    <row r="124" spans="1:95" ht="16.5" x14ac:dyDescent="0.3">
      <c r="A124" s="49" t="s">
        <v>120</v>
      </c>
      <c r="B124" s="38" t="s">
        <v>126</v>
      </c>
      <c r="C124" s="174">
        <v>1500</v>
      </c>
      <c r="D124" s="18">
        <v>1220</v>
      </c>
      <c r="E124" s="43">
        <v>1220</v>
      </c>
      <c r="F124" s="170">
        <f t="shared" si="256"/>
        <v>-280</v>
      </c>
      <c r="G124" s="83">
        <v>1500</v>
      </c>
      <c r="H124" s="18">
        <v>2220</v>
      </c>
      <c r="I124" s="43">
        <v>2220</v>
      </c>
      <c r="J124" s="19">
        <f t="shared" si="257"/>
        <v>720</v>
      </c>
      <c r="K124" s="17">
        <v>1500</v>
      </c>
      <c r="L124" s="18">
        <v>1070</v>
      </c>
      <c r="M124" s="43">
        <v>1070</v>
      </c>
      <c r="N124" s="19">
        <f t="shared" si="283"/>
        <v>-430</v>
      </c>
      <c r="O124" s="17">
        <f t="shared" si="284"/>
        <v>4500</v>
      </c>
      <c r="P124" s="43">
        <f t="shared" si="285"/>
        <v>4510</v>
      </c>
      <c r="Q124" s="43">
        <f t="shared" si="285"/>
        <v>4510</v>
      </c>
      <c r="R124" s="19">
        <f t="shared" si="286"/>
        <v>10</v>
      </c>
      <c r="S124" s="17">
        <v>1500</v>
      </c>
      <c r="T124" s="18">
        <v>400</v>
      </c>
      <c r="U124" s="43">
        <v>400</v>
      </c>
      <c r="V124" s="19">
        <f t="shared" si="287"/>
        <v>-1100</v>
      </c>
      <c r="W124" s="17">
        <v>1500</v>
      </c>
      <c r="X124" s="18">
        <v>750</v>
      </c>
      <c r="Y124" s="37">
        <v>750</v>
      </c>
      <c r="Z124" s="18">
        <f t="shared" si="288"/>
        <v>-750</v>
      </c>
      <c r="AA124" s="83">
        <v>1500</v>
      </c>
      <c r="AB124" s="18">
        <v>600</v>
      </c>
      <c r="AC124" s="43">
        <v>600</v>
      </c>
      <c r="AD124" s="19">
        <f t="shared" si="289"/>
        <v>-900</v>
      </c>
      <c r="AE124" s="17">
        <f t="shared" si="313"/>
        <v>4500</v>
      </c>
      <c r="AF124" s="18">
        <f t="shared" si="313"/>
        <v>1750</v>
      </c>
      <c r="AG124" s="18">
        <f t="shared" si="313"/>
        <v>1750</v>
      </c>
      <c r="AH124" s="19">
        <f t="shared" si="290"/>
        <v>-2750</v>
      </c>
      <c r="AI124" s="17">
        <f t="shared" si="314"/>
        <v>9000</v>
      </c>
      <c r="AJ124" s="18">
        <f t="shared" si="314"/>
        <v>6260</v>
      </c>
      <c r="AK124" s="18">
        <f t="shared" si="314"/>
        <v>6260</v>
      </c>
      <c r="AL124" s="19">
        <f t="shared" si="291"/>
        <v>-2740</v>
      </c>
      <c r="AM124" s="17">
        <v>1500</v>
      </c>
      <c r="AN124" s="18">
        <v>800</v>
      </c>
      <c r="AO124" s="18">
        <v>800</v>
      </c>
      <c r="AP124" s="20">
        <f t="shared" si="292"/>
        <v>-700</v>
      </c>
      <c r="AQ124" s="17">
        <v>1500</v>
      </c>
      <c r="AR124" s="18">
        <v>2188</v>
      </c>
      <c r="AS124" s="43">
        <v>2188</v>
      </c>
      <c r="AT124" s="20">
        <f t="shared" si="293"/>
        <v>688</v>
      </c>
      <c r="AU124" s="17">
        <v>1500</v>
      </c>
      <c r="AV124" s="18">
        <v>1370</v>
      </c>
      <c r="AW124" s="43">
        <v>1370</v>
      </c>
      <c r="AX124" s="20">
        <f t="shared" si="294"/>
        <v>-130</v>
      </c>
      <c r="AY124" s="17">
        <f t="shared" si="315"/>
        <v>4500</v>
      </c>
      <c r="AZ124" s="18">
        <f t="shared" si="315"/>
        <v>4358</v>
      </c>
      <c r="BA124" s="18">
        <f t="shared" si="315"/>
        <v>4358</v>
      </c>
      <c r="BB124" s="19">
        <f t="shared" si="295"/>
        <v>-142</v>
      </c>
      <c r="BC124" s="194">
        <f t="shared" si="296"/>
        <v>13500</v>
      </c>
      <c r="BD124" s="124">
        <f t="shared" si="296"/>
        <v>10618</v>
      </c>
      <c r="BE124" s="124">
        <f t="shared" si="296"/>
        <v>10618</v>
      </c>
      <c r="BF124" s="170">
        <f t="shared" si="297"/>
        <v>-2882</v>
      </c>
      <c r="BG124" s="83">
        <v>1500</v>
      </c>
      <c r="BH124" s="18">
        <v>800</v>
      </c>
      <c r="BI124" s="43">
        <v>800</v>
      </c>
      <c r="BJ124" s="41">
        <f t="shared" si="298"/>
        <v>-700</v>
      </c>
      <c r="BK124" s="44">
        <v>1500</v>
      </c>
      <c r="BL124" s="43">
        <v>1370</v>
      </c>
      <c r="BM124" s="43">
        <v>1370</v>
      </c>
      <c r="BN124" s="41">
        <f t="shared" si="299"/>
        <v>-130</v>
      </c>
      <c r="BO124" s="44">
        <v>1500</v>
      </c>
      <c r="BP124" s="43">
        <v>1570</v>
      </c>
      <c r="BQ124" s="43">
        <v>1570</v>
      </c>
      <c r="BR124" s="41">
        <f t="shared" si="300"/>
        <v>70</v>
      </c>
      <c r="BS124" s="17">
        <f t="shared" si="303"/>
        <v>4500</v>
      </c>
      <c r="BT124" s="18">
        <f t="shared" si="303"/>
        <v>3740</v>
      </c>
      <c r="BU124" s="18">
        <f t="shared" si="303"/>
        <v>3740</v>
      </c>
      <c r="BV124" s="20">
        <f t="shared" si="301"/>
        <v>-760</v>
      </c>
      <c r="BW124" s="17">
        <f t="shared" si="304"/>
        <v>9000</v>
      </c>
      <c r="BX124" s="18">
        <f t="shared" si="304"/>
        <v>8098</v>
      </c>
      <c r="BY124" s="18">
        <f t="shared" si="304"/>
        <v>8098</v>
      </c>
      <c r="BZ124" s="20">
        <f t="shared" si="239"/>
        <v>-902</v>
      </c>
      <c r="CA124" s="17">
        <f t="shared" si="316"/>
        <v>18000</v>
      </c>
      <c r="CB124" s="18">
        <f t="shared" si="316"/>
        <v>14358</v>
      </c>
      <c r="CC124" s="43">
        <f t="shared" si="316"/>
        <v>14358</v>
      </c>
      <c r="CD124" s="20">
        <f t="shared" si="318"/>
        <v>-3642</v>
      </c>
      <c r="CE124" s="2"/>
      <c r="CF124" s="2"/>
      <c r="CG124" s="93"/>
      <c r="CH124" s="93"/>
      <c r="CI124" s="2"/>
      <c r="CJ124" s="91">
        <f t="shared" si="317"/>
        <v>4500</v>
      </c>
      <c r="CK124" s="91">
        <f t="shared" si="317"/>
        <v>3740</v>
      </c>
      <c r="CL124" s="91">
        <f t="shared" si="317"/>
        <v>3740</v>
      </c>
      <c r="CM124" s="91">
        <f t="shared" si="317"/>
        <v>-760</v>
      </c>
      <c r="CN124" s="91">
        <f t="shared" si="268"/>
        <v>18000</v>
      </c>
      <c r="CO124" s="91">
        <f t="shared" si="268"/>
        <v>14358</v>
      </c>
      <c r="CP124" s="91">
        <f t="shared" si="268"/>
        <v>14358</v>
      </c>
      <c r="CQ124" s="91">
        <f t="shared" si="268"/>
        <v>-3642</v>
      </c>
    </row>
    <row r="125" spans="1:95" ht="16.5" hidden="1" x14ac:dyDescent="0.3">
      <c r="A125" s="49" t="s">
        <v>127</v>
      </c>
      <c r="B125" s="38"/>
      <c r="C125" s="174"/>
      <c r="D125" s="18"/>
      <c r="E125" s="43"/>
      <c r="F125" s="170">
        <f t="shared" si="256"/>
        <v>0</v>
      </c>
      <c r="G125" s="83"/>
      <c r="H125" s="18"/>
      <c r="I125" s="43"/>
      <c r="J125" s="19">
        <f t="shared" si="257"/>
        <v>0</v>
      </c>
      <c r="K125" s="17"/>
      <c r="L125" s="18"/>
      <c r="M125" s="43"/>
      <c r="N125" s="19">
        <f t="shared" si="283"/>
        <v>0</v>
      </c>
      <c r="O125" s="17">
        <f t="shared" si="284"/>
        <v>0</v>
      </c>
      <c r="P125" s="43">
        <f t="shared" si="285"/>
        <v>0</v>
      </c>
      <c r="Q125" s="43">
        <f t="shared" si="285"/>
        <v>0</v>
      </c>
      <c r="R125" s="19">
        <f t="shared" si="286"/>
        <v>0</v>
      </c>
      <c r="S125" s="17"/>
      <c r="T125" s="18"/>
      <c r="U125" s="43"/>
      <c r="V125" s="19">
        <f t="shared" si="287"/>
        <v>0</v>
      </c>
      <c r="W125" s="17"/>
      <c r="X125" s="18"/>
      <c r="Y125" s="37"/>
      <c r="Z125" s="18">
        <f t="shared" si="288"/>
        <v>0</v>
      </c>
      <c r="AA125" s="83"/>
      <c r="AB125" s="18"/>
      <c r="AC125" s="43"/>
      <c r="AD125" s="19">
        <f t="shared" si="289"/>
        <v>0</v>
      </c>
      <c r="AE125" s="17">
        <f t="shared" si="313"/>
        <v>0</v>
      </c>
      <c r="AF125" s="18">
        <f t="shared" si="313"/>
        <v>0</v>
      </c>
      <c r="AG125" s="18">
        <f t="shared" si="313"/>
        <v>0</v>
      </c>
      <c r="AH125" s="19">
        <f t="shared" si="290"/>
        <v>0</v>
      </c>
      <c r="AI125" s="17">
        <f t="shared" si="314"/>
        <v>0</v>
      </c>
      <c r="AJ125" s="18">
        <f t="shared" si="314"/>
        <v>0</v>
      </c>
      <c r="AK125" s="18">
        <f t="shared" si="314"/>
        <v>0</v>
      </c>
      <c r="AL125" s="19">
        <f t="shared" si="291"/>
        <v>0</v>
      </c>
      <c r="AM125" s="17"/>
      <c r="AN125" s="18"/>
      <c r="AO125" s="43"/>
      <c r="AP125" s="20">
        <f t="shared" si="292"/>
        <v>0</v>
      </c>
      <c r="AQ125" s="17"/>
      <c r="AR125" s="18"/>
      <c r="AS125" s="146"/>
      <c r="AT125" s="20">
        <f t="shared" si="293"/>
        <v>0</v>
      </c>
      <c r="AU125" s="17"/>
      <c r="AV125" s="18"/>
      <c r="AW125" s="43"/>
      <c r="AX125" s="20">
        <f t="shared" si="294"/>
        <v>0</v>
      </c>
      <c r="AY125" s="17">
        <f t="shared" si="315"/>
        <v>0</v>
      </c>
      <c r="AZ125" s="18">
        <f t="shared" si="315"/>
        <v>0</v>
      </c>
      <c r="BA125" s="18">
        <f t="shared" si="315"/>
        <v>0</v>
      </c>
      <c r="BB125" s="19">
        <f t="shared" si="295"/>
        <v>0</v>
      </c>
      <c r="BC125" s="194">
        <f t="shared" si="296"/>
        <v>0</v>
      </c>
      <c r="BD125" s="124">
        <f t="shared" si="296"/>
        <v>0</v>
      </c>
      <c r="BE125" s="124">
        <f t="shared" si="296"/>
        <v>0</v>
      </c>
      <c r="BF125" s="170">
        <f t="shared" si="297"/>
        <v>0</v>
      </c>
      <c r="BG125" s="83"/>
      <c r="BH125" s="18"/>
      <c r="BI125" s="43"/>
      <c r="BJ125" s="41">
        <f t="shared" si="298"/>
        <v>0</v>
      </c>
      <c r="BK125" s="44"/>
      <c r="BL125" s="43"/>
      <c r="BM125" s="43"/>
      <c r="BN125" s="41">
        <f t="shared" si="299"/>
        <v>0</v>
      </c>
      <c r="BO125" s="44"/>
      <c r="BP125" s="43"/>
      <c r="BQ125" s="43"/>
      <c r="BR125" s="41">
        <f t="shared" si="300"/>
        <v>0</v>
      </c>
      <c r="BS125" s="17">
        <f t="shared" si="303"/>
        <v>0</v>
      </c>
      <c r="BT125" s="18">
        <f t="shared" si="303"/>
        <v>0</v>
      </c>
      <c r="BU125" s="18">
        <f t="shared" si="303"/>
        <v>0</v>
      </c>
      <c r="BV125" s="20">
        <f t="shared" si="301"/>
        <v>0</v>
      </c>
      <c r="BW125" s="17">
        <f t="shared" si="304"/>
        <v>0</v>
      </c>
      <c r="BX125" s="18">
        <f t="shared" si="304"/>
        <v>0</v>
      </c>
      <c r="BY125" s="18">
        <f t="shared" si="304"/>
        <v>0</v>
      </c>
      <c r="BZ125" s="20">
        <f t="shared" si="239"/>
        <v>0</v>
      </c>
      <c r="CA125" s="17">
        <f t="shared" si="316"/>
        <v>0</v>
      </c>
      <c r="CB125" s="18">
        <f t="shared" si="316"/>
        <v>0</v>
      </c>
      <c r="CC125" s="43">
        <f t="shared" si="316"/>
        <v>0</v>
      </c>
      <c r="CD125" s="20">
        <f t="shared" si="318"/>
        <v>0</v>
      </c>
      <c r="CE125" s="2"/>
      <c r="CF125" s="2"/>
      <c r="CG125" s="93"/>
      <c r="CH125" s="93"/>
      <c r="CI125" s="2"/>
      <c r="CJ125" s="91">
        <f t="shared" si="317"/>
        <v>0</v>
      </c>
      <c r="CK125" s="91">
        <f t="shared" si="317"/>
        <v>0</v>
      </c>
      <c r="CL125" s="91">
        <f t="shared" si="317"/>
        <v>0</v>
      </c>
      <c r="CM125" s="91">
        <f t="shared" si="317"/>
        <v>0</v>
      </c>
      <c r="CN125" s="91">
        <f t="shared" si="268"/>
        <v>0</v>
      </c>
      <c r="CO125" s="91">
        <f t="shared" si="268"/>
        <v>0</v>
      </c>
      <c r="CP125" s="91">
        <f t="shared" si="268"/>
        <v>0</v>
      </c>
      <c r="CQ125" s="91">
        <f t="shared" si="268"/>
        <v>0</v>
      </c>
    </row>
    <row r="126" spans="1:95" ht="16.5" hidden="1" x14ac:dyDescent="0.3">
      <c r="A126" s="49" t="s">
        <v>128</v>
      </c>
      <c r="B126" s="38" t="s">
        <v>129</v>
      </c>
      <c r="C126" s="174"/>
      <c r="D126" s="18"/>
      <c r="E126" s="43"/>
      <c r="F126" s="170">
        <f t="shared" si="256"/>
        <v>0</v>
      </c>
      <c r="G126" s="83"/>
      <c r="H126" s="18"/>
      <c r="I126" s="43"/>
      <c r="J126" s="19">
        <f t="shared" si="257"/>
        <v>0</v>
      </c>
      <c r="K126" s="17"/>
      <c r="L126" s="18"/>
      <c r="M126" s="43"/>
      <c r="N126" s="19">
        <f t="shared" si="283"/>
        <v>0</v>
      </c>
      <c r="O126" s="17">
        <f t="shared" si="284"/>
        <v>0</v>
      </c>
      <c r="P126" s="43">
        <f t="shared" si="285"/>
        <v>0</v>
      </c>
      <c r="Q126" s="43">
        <f t="shared" si="285"/>
        <v>0</v>
      </c>
      <c r="R126" s="19">
        <f t="shared" si="286"/>
        <v>0</v>
      </c>
      <c r="S126" s="17"/>
      <c r="T126" s="18"/>
      <c r="U126" s="43"/>
      <c r="V126" s="19">
        <f t="shared" si="287"/>
        <v>0</v>
      </c>
      <c r="W126" s="17"/>
      <c r="X126" s="18"/>
      <c r="Y126" s="37"/>
      <c r="Z126" s="18">
        <f t="shared" si="288"/>
        <v>0</v>
      </c>
      <c r="AA126" s="83"/>
      <c r="AB126" s="18"/>
      <c r="AC126" s="43"/>
      <c r="AD126" s="19">
        <f t="shared" si="289"/>
        <v>0</v>
      </c>
      <c r="AE126" s="17">
        <f t="shared" si="313"/>
        <v>0</v>
      </c>
      <c r="AF126" s="18">
        <f t="shared" si="313"/>
        <v>0</v>
      </c>
      <c r="AG126" s="18">
        <f t="shared" si="313"/>
        <v>0</v>
      </c>
      <c r="AH126" s="19">
        <f t="shared" si="290"/>
        <v>0</v>
      </c>
      <c r="AI126" s="17">
        <f t="shared" si="314"/>
        <v>0</v>
      </c>
      <c r="AJ126" s="18">
        <f t="shared" si="314"/>
        <v>0</v>
      </c>
      <c r="AK126" s="18">
        <f t="shared" si="314"/>
        <v>0</v>
      </c>
      <c r="AL126" s="19">
        <f t="shared" si="291"/>
        <v>0</v>
      </c>
      <c r="AM126" s="17"/>
      <c r="AN126" s="18"/>
      <c r="AO126" s="43"/>
      <c r="AP126" s="20">
        <f t="shared" si="292"/>
        <v>0</v>
      </c>
      <c r="AQ126" s="17"/>
      <c r="AR126" s="18"/>
      <c r="AS126" s="43"/>
      <c r="AT126" s="20">
        <f t="shared" si="293"/>
        <v>0</v>
      </c>
      <c r="AU126" s="17"/>
      <c r="AV126" s="18"/>
      <c r="AW126" s="43"/>
      <c r="AX126" s="20">
        <f t="shared" si="294"/>
        <v>0</v>
      </c>
      <c r="AY126" s="17">
        <f t="shared" si="315"/>
        <v>0</v>
      </c>
      <c r="AZ126" s="18">
        <f t="shared" si="315"/>
        <v>0</v>
      </c>
      <c r="BA126" s="18">
        <f t="shared" si="315"/>
        <v>0</v>
      </c>
      <c r="BB126" s="19">
        <f t="shared" si="295"/>
        <v>0</v>
      </c>
      <c r="BC126" s="194">
        <f t="shared" si="296"/>
        <v>0</v>
      </c>
      <c r="BD126" s="124">
        <f t="shared" si="296"/>
        <v>0</v>
      </c>
      <c r="BE126" s="124">
        <f t="shared" si="296"/>
        <v>0</v>
      </c>
      <c r="BF126" s="170">
        <f t="shared" si="297"/>
        <v>0</v>
      </c>
      <c r="BG126" s="83"/>
      <c r="BH126" s="18"/>
      <c r="BI126" s="43"/>
      <c r="BJ126" s="41">
        <f t="shared" si="298"/>
        <v>0</v>
      </c>
      <c r="BK126" s="44"/>
      <c r="BL126" s="43"/>
      <c r="BM126" s="43"/>
      <c r="BN126" s="41">
        <f t="shared" si="299"/>
        <v>0</v>
      </c>
      <c r="BO126" s="44"/>
      <c r="BP126" s="43"/>
      <c r="BQ126" s="43"/>
      <c r="BR126" s="41">
        <f t="shared" si="300"/>
        <v>0</v>
      </c>
      <c r="BS126" s="17">
        <f t="shared" si="303"/>
        <v>0</v>
      </c>
      <c r="BT126" s="18">
        <f t="shared" si="303"/>
        <v>0</v>
      </c>
      <c r="BU126" s="18">
        <f t="shared" si="303"/>
        <v>0</v>
      </c>
      <c r="BV126" s="20">
        <f t="shared" si="301"/>
        <v>0</v>
      </c>
      <c r="BW126" s="17">
        <f t="shared" si="304"/>
        <v>0</v>
      </c>
      <c r="BX126" s="18">
        <f t="shared" si="304"/>
        <v>0</v>
      </c>
      <c r="BY126" s="18">
        <f t="shared" si="304"/>
        <v>0</v>
      </c>
      <c r="BZ126" s="20">
        <f t="shared" si="239"/>
        <v>0</v>
      </c>
      <c r="CA126" s="17">
        <f t="shared" si="316"/>
        <v>0</v>
      </c>
      <c r="CB126" s="18">
        <f t="shared" si="316"/>
        <v>0</v>
      </c>
      <c r="CC126" s="43">
        <f t="shared" si="316"/>
        <v>0</v>
      </c>
      <c r="CD126" s="20">
        <f t="shared" si="318"/>
        <v>0</v>
      </c>
      <c r="CE126" s="2"/>
      <c r="CF126" s="2"/>
      <c r="CG126" s="93"/>
      <c r="CH126" s="93"/>
      <c r="CI126" s="2"/>
      <c r="CJ126" s="91">
        <f t="shared" si="317"/>
        <v>0</v>
      </c>
      <c r="CK126" s="91">
        <f t="shared" si="317"/>
        <v>0</v>
      </c>
      <c r="CL126" s="91">
        <f t="shared" si="317"/>
        <v>0</v>
      </c>
      <c r="CM126" s="91">
        <f t="shared" si="317"/>
        <v>0</v>
      </c>
      <c r="CN126" s="91">
        <f t="shared" si="268"/>
        <v>0</v>
      </c>
      <c r="CO126" s="91">
        <f t="shared" si="268"/>
        <v>0</v>
      </c>
      <c r="CP126" s="91">
        <f t="shared" si="268"/>
        <v>0</v>
      </c>
      <c r="CQ126" s="91">
        <f t="shared" si="268"/>
        <v>0</v>
      </c>
    </row>
    <row r="127" spans="1:95" ht="16.5" hidden="1" outlineLevel="1" x14ac:dyDescent="0.3">
      <c r="A127" s="49" t="s">
        <v>122</v>
      </c>
      <c r="B127" s="38" t="s">
        <v>131</v>
      </c>
      <c r="C127" s="174">
        <v>6000</v>
      </c>
      <c r="D127" s="18">
        <v>1153.23</v>
      </c>
      <c r="E127" s="43">
        <f>3721.35+3366.69</f>
        <v>7088.04</v>
      </c>
      <c r="F127" s="170">
        <f t="shared" si="256"/>
        <v>-4846.7700000000004</v>
      </c>
      <c r="G127" s="83">
        <v>6000</v>
      </c>
      <c r="H127" s="18">
        <v>9470.25</v>
      </c>
      <c r="I127" s="43">
        <v>1153.23</v>
      </c>
      <c r="J127" s="19">
        <f t="shared" si="257"/>
        <v>3470.25</v>
      </c>
      <c r="K127" s="17">
        <v>6000</v>
      </c>
      <c r="L127" s="18">
        <v>8147.31</v>
      </c>
      <c r="M127" s="43">
        <v>9470.25</v>
      </c>
      <c r="N127" s="19">
        <f t="shared" si="283"/>
        <v>2147.3100000000004</v>
      </c>
      <c r="O127" s="17">
        <f t="shared" si="284"/>
        <v>18000</v>
      </c>
      <c r="P127" s="43">
        <f t="shared" si="285"/>
        <v>18770.79</v>
      </c>
      <c r="Q127" s="43">
        <f t="shared" si="285"/>
        <v>17711.52</v>
      </c>
      <c r="R127" s="19">
        <f t="shared" si="286"/>
        <v>770.79000000000087</v>
      </c>
      <c r="S127" s="17">
        <v>6000</v>
      </c>
      <c r="T127" s="18">
        <v>17458.98</v>
      </c>
      <c r="U127" s="43">
        <v>8147.31</v>
      </c>
      <c r="V127" s="19">
        <f t="shared" si="287"/>
        <v>11458.98</v>
      </c>
      <c r="W127" s="17">
        <v>6000</v>
      </c>
      <c r="X127" s="18"/>
      <c r="Y127" s="37">
        <v>17458.98</v>
      </c>
      <c r="Z127" s="18">
        <f t="shared" si="288"/>
        <v>-6000</v>
      </c>
      <c r="AA127" s="83">
        <v>6000</v>
      </c>
      <c r="AB127" s="43">
        <v>7148.58</v>
      </c>
      <c r="AC127" s="43"/>
      <c r="AD127" s="19">
        <f t="shared" si="289"/>
        <v>1148.58</v>
      </c>
      <c r="AE127" s="17">
        <f t="shared" si="313"/>
        <v>18000</v>
      </c>
      <c r="AF127" s="18">
        <f t="shared" si="313"/>
        <v>24607.559999999998</v>
      </c>
      <c r="AG127" s="18">
        <f t="shared" si="313"/>
        <v>25606.29</v>
      </c>
      <c r="AH127" s="19">
        <f t="shared" si="290"/>
        <v>6607.5599999999977</v>
      </c>
      <c r="AI127" s="17">
        <f t="shared" si="314"/>
        <v>36000</v>
      </c>
      <c r="AJ127" s="18">
        <f t="shared" si="314"/>
        <v>43378.35</v>
      </c>
      <c r="AK127" s="18">
        <f t="shared" si="314"/>
        <v>43317.81</v>
      </c>
      <c r="AL127" s="19">
        <f t="shared" si="291"/>
        <v>7378.3499999999985</v>
      </c>
      <c r="AM127" s="17">
        <v>6000</v>
      </c>
      <c r="AN127" s="18">
        <v>9665.49</v>
      </c>
      <c r="AO127" s="43">
        <v>7148.58</v>
      </c>
      <c r="AP127" s="20">
        <f t="shared" si="292"/>
        <v>3665.49</v>
      </c>
      <c r="AQ127" s="17">
        <v>6000</v>
      </c>
      <c r="AR127" s="18">
        <v>8744.82</v>
      </c>
      <c r="AS127" s="43">
        <v>9665.49</v>
      </c>
      <c r="AT127" s="20">
        <f t="shared" si="293"/>
        <v>2744.8199999999997</v>
      </c>
      <c r="AU127" s="17">
        <v>6000</v>
      </c>
      <c r="AV127" s="18">
        <v>18350.88</v>
      </c>
      <c r="AW127" s="43">
        <v>8744.82</v>
      </c>
      <c r="AX127" s="20">
        <f t="shared" si="294"/>
        <v>12350.880000000001</v>
      </c>
      <c r="AY127" s="17">
        <f t="shared" si="315"/>
        <v>18000</v>
      </c>
      <c r="AZ127" s="18">
        <f t="shared" si="315"/>
        <v>36761.19</v>
      </c>
      <c r="BA127" s="18">
        <f t="shared" si="315"/>
        <v>25558.89</v>
      </c>
      <c r="BB127" s="19">
        <f t="shared" si="295"/>
        <v>18761.190000000002</v>
      </c>
      <c r="BC127" s="194">
        <f t="shared" si="296"/>
        <v>54000</v>
      </c>
      <c r="BD127" s="124">
        <f t="shared" si="296"/>
        <v>80139.540000000008</v>
      </c>
      <c r="BE127" s="124">
        <f t="shared" si="296"/>
        <v>68876.7</v>
      </c>
      <c r="BF127" s="170">
        <f t="shared" si="297"/>
        <v>26139.540000000008</v>
      </c>
      <c r="BG127" s="83">
        <v>6000</v>
      </c>
      <c r="BH127" s="18">
        <v>18977.04</v>
      </c>
      <c r="BI127" s="43">
        <v>18350.88</v>
      </c>
      <c r="BJ127" s="41">
        <f t="shared" si="298"/>
        <v>12977.04</v>
      </c>
      <c r="BK127" s="44">
        <v>6000</v>
      </c>
      <c r="BL127" s="43">
        <v>12806.91</v>
      </c>
      <c r="BM127" s="43">
        <v>18977.04</v>
      </c>
      <c r="BN127" s="41">
        <f t="shared" si="299"/>
        <v>6806.91</v>
      </c>
      <c r="BO127" s="44">
        <v>6000</v>
      </c>
      <c r="BP127" s="43">
        <v>6196.02</v>
      </c>
      <c r="BQ127" s="43">
        <v>19002.93</v>
      </c>
      <c r="BR127" s="41">
        <f t="shared" si="300"/>
        <v>196.02000000000044</v>
      </c>
      <c r="BS127" s="17">
        <f t="shared" si="303"/>
        <v>18000</v>
      </c>
      <c r="BT127" s="18">
        <f t="shared" si="303"/>
        <v>37979.97</v>
      </c>
      <c r="BU127" s="18">
        <f t="shared" si="303"/>
        <v>56330.85</v>
      </c>
      <c r="BV127" s="20">
        <f t="shared" si="301"/>
        <v>19979.97</v>
      </c>
      <c r="BW127" s="17">
        <f t="shared" si="304"/>
        <v>36000</v>
      </c>
      <c r="BX127" s="18">
        <f t="shared" si="304"/>
        <v>74741.16</v>
      </c>
      <c r="BY127" s="18">
        <f t="shared" si="304"/>
        <v>81889.739999999991</v>
      </c>
      <c r="BZ127" s="20">
        <f t="shared" si="239"/>
        <v>38741.160000000003</v>
      </c>
      <c r="CA127" s="17">
        <f t="shared" si="316"/>
        <v>72000</v>
      </c>
      <c r="CB127" s="18">
        <f t="shared" si="316"/>
        <v>118119.51000000001</v>
      </c>
      <c r="CC127" s="43">
        <f t="shared" si="316"/>
        <v>125207.54999999999</v>
      </c>
      <c r="CD127" s="20">
        <f t="shared" si="318"/>
        <v>46119.510000000009</v>
      </c>
      <c r="CE127" s="2"/>
      <c r="CF127" s="2"/>
      <c r="CG127" s="93"/>
      <c r="CH127" s="93"/>
      <c r="CI127" s="2"/>
      <c r="CJ127" s="91">
        <f t="shared" si="317"/>
        <v>18000</v>
      </c>
      <c r="CK127" s="91">
        <f t="shared" si="317"/>
        <v>37979.97</v>
      </c>
      <c r="CL127" s="91">
        <f t="shared" si="317"/>
        <v>56330.85</v>
      </c>
      <c r="CM127" s="91">
        <f t="shared" si="317"/>
        <v>19979.97</v>
      </c>
      <c r="CN127" s="91">
        <f t="shared" si="268"/>
        <v>72000</v>
      </c>
      <c r="CO127" s="91">
        <f t="shared" si="268"/>
        <v>118119.51000000001</v>
      </c>
      <c r="CP127" s="91">
        <f t="shared" si="268"/>
        <v>125207.54999999999</v>
      </c>
      <c r="CQ127" s="91">
        <f t="shared" si="268"/>
        <v>46119.51</v>
      </c>
    </row>
    <row r="128" spans="1:95" ht="16.5" collapsed="1" x14ac:dyDescent="0.3">
      <c r="A128" s="49" t="s">
        <v>124</v>
      </c>
      <c r="B128" s="38" t="s">
        <v>133</v>
      </c>
      <c r="C128" s="174">
        <v>5466</v>
      </c>
      <c r="D128" s="18">
        <v>5457</v>
      </c>
      <c r="E128" s="43">
        <v>5457</v>
      </c>
      <c r="F128" s="170">
        <f t="shared" si="256"/>
        <v>-9</v>
      </c>
      <c r="G128" s="83">
        <v>5466</v>
      </c>
      <c r="H128" s="18">
        <v>5461</v>
      </c>
      <c r="I128" s="43">
        <v>5461</v>
      </c>
      <c r="J128" s="19">
        <f t="shared" si="257"/>
        <v>-5</v>
      </c>
      <c r="K128" s="17">
        <v>5466</v>
      </c>
      <c r="L128" s="43">
        <v>5464</v>
      </c>
      <c r="M128" s="43">
        <v>5464</v>
      </c>
      <c r="N128" s="19">
        <f t="shared" si="283"/>
        <v>-2</v>
      </c>
      <c r="O128" s="17">
        <f t="shared" si="284"/>
        <v>16398</v>
      </c>
      <c r="P128" s="43">
        <f t="shared" si="285"/>
        <v>16382</v>
      </c>
      <c r="Q128" s="43">
        <f t="shared" si="285"/>
        <v>16382</v>
      </c>
      <c r="R128" s="19">
        <f t="shared" si="286"/>
        <v>-16</v>
      </c>
      <c r="S128" s="17">
        <v>5466</v>
      </c>
      <c r="T128" s="18">
        <v>5462</v>
      </c>
      <c r="U128" s="43"/>
      <c r="V128" s="19">
        <f t="shared" si="287"/>
        <v>-4</v>
      </c>
      <c r="W128" s="17">
        <v>5466</v>
      </c>
      <c r="X128" s="18">
        <v>5463</v>
      </c>
      <c r="Y128" s="37">
        <v>10925</v>
      </c>
      <c r="Z128" s="18">
        <f t="shared" si="288"/>
        <v>-3</v>
      </c>
      <c r="AA128" s="83">
        <v>5466</v>
      </c>
      <c r="AB128" s="43">
        <v>5466</v>
      </c>
      <c r="AC128" s="43">
        <v>5466</v>
      </c>
      <c r="AD128" s="19">
        <f t="shared" si="289"/>
        <v>0</v>
      </c>
      <c r="AE128" s="17">
        <f t="shared" si="313"/>
        <v>16398</v>
      </c>
      <c r="AF128" s="18">
        <f t="shared" si="313"/>
        <v>16391</v>
      </c>
      <c r="AG128" s="18">
        <f t="shared" si="313"/>
        <v>16391</v>
      </c>
      <c r="AH128" s="19">
        <f t="shared" si="290"/>
        <v>-7</v>
      </c>
      <c r="AI128" s="17">
        <f t="shared" si="314"/>
        <v>32796</v>
      </c>
      <c r="AJ128" s="18">
        <f t="shared" si="314"/>
        <v>32773</v>
      </c>
      <c r="AK128" s="18">
        <f t="shared" si="314"/>
        <v>32773</v>
      </c>
      <c r="AL128" s="19">
        <f t="shared" si="291"/>
        <v>-23</v>
      </c>
      <c r="AM128" s="17">
        <v>5466</v>
      </c>
      <c r="AN128" s="18">
        <v>5460</v>
      </c>
      <c r="AO128" s="43">
        <v>5460</v>
      </c>
      <c r="AP128" s="20">
        <f t="shared" si="292"/>
        <v>-6</v>
      </c>
      <c r="AQ128" s="17">
        <v>5466</v>
      </c>
      <c r="AR128" s="18">
        <v>5454</v>
      </c>
      <c r="AS128" s="43">
        <v>5454</v>
      </c>
      <c r="AT128" s="20">
        <f t="shared" si="293"/>
        <v>-12</v>
      </c>
      <c r="AU128" s="17">
        <v>5466</v>
      </c>
      <c r="AV128" s="18">
        <v>5455</v>
      </c>
      <c r="AW128" s="43">
        <v>5455</v>
      </c>
      <c r="AX128" s="20">
        <f t="shared" si="294"/>
        <v>-11</v>
      </c>
      <c r="AY128" s="17">
        <f t="shared" si="315"/>
        <v>16398</v>
      </c>
      <c r="AZ128" s="18">
        <f t="shared" si="315"/>
        <v>16369</v>
      </c>
      <c r="BA128" s="18">
        <f t="shared" si="315"/>
        <v>16369</v>
      </c>
      <c r="BB128" s="19">
        <f t="shared" si="295"/>
        <v>-29</v>
      </c>
      <c r="BC128" s="194">
        <f t="shared" si="296"/>
        <v>49194</v>
      </c>
      <c r="BD128" s="124">
        <f t="shared" si="296"/>
        <v>49142</v>
      </c>
      <c r="BE128" s="124">
        <f t="shared" si="296"/>
        <v>49142</v>
      </c>
      <c r="BF128" s="170">
        <f t="shared" si="297"/>
        <v>-52</v>
      </c>
      <c r="BG128" s="83">
        <v>5466</v>
      </c>
      <c r="BH128" s="18">
        <v>5455</v>
      </c>
      <c r="BI128" s="43">
        <v>5455</v>
      </c>
      <c r="BJ128" s="41">
        <f t="shared" si="298"/>
        <v>-11</v>
      </c>
      <c r="BK128" s="44">
        <v>5466</v>
      </c>
      <c r="BL128" s="43">
        <v>5447</v>
      </c>
      <c r="BM128" s="43">
        <v>5447</v>
      </c>
      <c r="BN128" s="41">
        <f t="shared" si="299"/>
        <v>-19</v>
      </c>
      <c r="BO128" s="44">
        <v>5466</v>
      </c>
      <c r="BP128" s="43">
        <v>5450</v>
      </c>
      <c r="BQ128" s="43">
        <v>5450</v>
      </c>
      <c r="BR128" s="41">
        <f t="shared" si="300"/>
        <v>-16</v>
      </c>
      <c r="BS128" s="17">
        <f t="shared" si="303"/>
        <v>16398</v>
      </c>
      <c r="BT128" s="18">
        <f t="shared" si="303"/>
        <v>16352</v>
      </c>
      <c r="BU128" s="18">
        <f t="shared" si="303"/>
        <v>16352</v>
      </c>
      <c r="BV128" s="20">
        <f t="shared" si="301"/>
        <v>-46</v>
      </c>
      <c r="BW128" s="17">
        <f t="shared" si="304"/>
        <v>32796</v>
      </c>
      <c r="BX128" s="18">
        <f t="shared" si="304"/>
        <v>32721</v>
      </c>
      <c r="BY128" s="18">
        <f t="shared" si="304"/>
        <v>32721</v>
      </c>
      <c r="BZ128" s="20">
        <f t="shared" si="239"/>
        <v>-75</v>
      </c>
      <c r="CA128" s="44">
        <f t="shared" si="316"/>
        <v>65592</v>
      </c>
      <c r="CB128" s="18">
        <f t="shared" si="316"/>
        <v>65494</v>
      </c>
      <c r="CC128" s="43">
        <f t="shared" si="316"/>
        <v>65494</v>
      </c>
      <c r="CD128" s="20">
        <f t="shared" si="318"/>
        <v>-98</v>
      </c>
      <c r="CE128" s="2"/>
      <c r="CF128" s="2"/>
      <c r="CG128" s="93"/>
      <c r="CH128" s="93"/>
      <c r="CI128" s="2"/>
      <c r="CJ128" s="91">
        <f t="shared" si="317"/>
        <v>16398</v>
      </c>
      <c r="CK128" s="91">
        <f t="shared" si="317"/>
        <v>16352</v>
      </c>
      <c r="CL128" s="91">
        <f t="shared" si="317"/>
        <v>16352</v>
      </c>
      <c r="CM128" s="91">
        <f t="shared" si="317"/>
        <v>-46</v>
      </c>
      <c r="CN128" s="91">
        <f t="shared" si="268"/>
        <v>65592</v>
      </c>
      <c r="CO128" s="91">
        <f t="shared" si="268"/>
        <v>65494</v>
      </c>
      <c r="CP128" s="91">
        <f t="shared" si="268"/>
        <v>65494</v>
      </c>
      <c r="CQ128" s="91">
        <f t="shared" si="268"/>
        <v>-98</v>
      </c>
    </row>
    <row r="129" spans="1:95" ht="16.5" x14ac:dyDescent="0.3">
      <c r="A129" s="49" t="s">
        <v>127</v>
      </c>
      <c r="B129" s="38" t="s">
        <v>135</v>
      </c>
      <c r="C129" s="168"/>
      <c r="D129" s="18"/>
      <c r="E129" s="43"/>
      <c r="F129" s="170">
        <f t="shared" si="256"/>
        <v>0</v>
      </c>
      <c r="G129" s="89"/>
      <c r="H129" s="18"/>
      <c r="I129" s="43"/>
      <c r="J129" s="19">
        <f t="shared" si="257"/>
        <v>0</v>
      </c>
      <c r="K129" s="25"/>
      <c r="L129" s="18"/>
      <c r="M129" s="43"/>
      <c r="N129" s="19">
        <f t="shared" si="283"/>
        <v>0</v>
      </c>
      <c r="O129" s="17">
        <f t="shared" si="284"/>
        <v>0</v>
      </c>
      <c r="P129" s="43">
        <f t="shared" si="285"/>
        <v>0</v>
      </c>
      <c r="Q129" s="43">
        <f t="shared" si="285"/>
        <v>0</v>
      </c>
      <c r="R129" s="19">
        <f t="shared" si="286"/>
        <v>0</v>
      </c>
      <c r="S129" s="25"/>
      <c r="T129" s="18"/>
      <c r="U129" s="43"/>
      <c r="V129" s="19">
        <f t="shared" si="287"/>
        <v>0</v>
      </c>
      <c r="W129" s="25"/>
      <c r="X129" s="18"/>
      <c r="Y129" s="40"/>
      <c r="Z129" s="18">
        <f t="shared" si="288"/>
        <v>0</v>
      </c>
      <c r="AA129" s="89"/>
      <c r="AB129" s="18"/>
      <c r="AC129" s="43"/>
      <c r="AD129" s="19">
        <f t="shared" si="289"/>
        <v>0</v>
      </c>
      <c r="AE129" s="17">
        <f t="shared" si="313"/>
        <v>0</v>
      </c>
      <c r="AF129" s="18">
        <f t="shared" si="313"/>
        <v>0</v>
      </c>
      <c r="AG129" s="18">
        <f t="shared" si="313"/>
        <v>0</v>
      </c>
      <c r="AH129" s="19">
        <f t="shared" si="290"/>
        <v>0</v>
      </c>
      <c r="AI129" s="17">
        <f t="shared" si="314"/>
        <v>0</v>
      </c>
      <c r="AJ129" s="18">
        <f t="shared" si="314"/>
        <v>0</v>
      </c>
      <c r="AK129" s="18">
        <f t="shared" si="314"/>
        <v>0</v>
      </c>
      <c r="AL129" s="19">
        <f t="shared" si="291"/>
        <v>0</v>
      </c>
      <c r="AM129" s="25"/>
      <c r="AN129" s="18"/>
      <c r="AO129" s="43"/>
      <c r="AP129" s="20">
        <f t="shared" si="292"/>
        <v>0</v>
      </c>
      <c r="AQ129" s="17"/>
      <c r="AR129" s="18"/>
      <c r="AS129" s="43"/>
      <c r="AT129" s="20">
        <f t="shared" si="293"/>
        <v>0</v>
      </c>
      <c r="AU129" s="17"/>
      <c r="AV129" s="18"/>
      <c r="AW129" s="43"/>
      <c r="AX129" s="20">
        <f t="shared" si="294"/>
        <v>0</v>
      </c>
      <c r="AY129" s="17">
        <f t="shared" si="315"/>
        <v>0</v>
      </c>
      <c r="AZ129" s="18">
        <f t="shared" si="315"/>
        <v>0</v>
      </c>
      <c r="BA129" s="18">
        <f t="shared" si="315"/>
        <v>0</v>
      </c>
      <c r="BB129" s="19">
        <f t="shared" si="295"/>
        <v>0</v>
      </c>
      <c r="BC129" s="190">
        <f t="shared" si="296"/>
        <v>0</v>
      </c>
      <c r="BD129" s="84">
        <f t="shared" si="296"/>
        <v>0</v>
      </c>
      <c r="BE129" s="84">
        <f t="shared" si="296"/>
        <v>0</v>
      </c>
      <c r="BF129" s="170">
        <f t="shared" si="297"/>
        <v>0</v>
      </c>
      <c r="BG129" s="83"/>
      <c r="BH129" s="18"/>
      <c r="BI129" s="43"/>
      <c r="BJ129" s="41">
        <f t="shared" si="298"/>
        <v>0</v>
      </c>
      <c r="BK129" s="44"/>
      <c r="BL129" s="43"/>
      <c r="BM129" s="43"/>
      <c r="BN129" s="41">
        <f t="shared" si="299"/>
        <v>0</v>
      </c>
      <c r="BO129" s="44">
        <v>3000</v>
      </c>
      <c r="BP129" s="43"/>
      <c r="BQ129" s="43"/>
      <c r="BR129" s="41">
        <f t="shared" si="300"/>
        <v>-3000</v>
      </c>
      <c r="BS129" s="17">
        <f t="shared" si="303"/>
        <v>3000</v>
      </c>
      <c r="BT129" s="18">
        <f t="shared" si="303"/>
        <v>0</v>
      </c>
      <c r="BU129" s="18">
        <f t="shared" si="303"/>
        <v>0</v>
      </c>
      <c r="BV129" s="20">
        <f t="shared" si="301"/>
        <v>-3000</v>
      </c>
      <c r="BW129" s="17">
        <f t="shared" si="304"/>
        <v>3000</v>
      </c>
      <c r="BX129" s="18">
        <f t="shared" si="304"/>
        <v>0</v>
      </c>
      <c r="BY129" s="18">
        <f t="shared" si="304"/>
        <v>0</v>
      </c>
      <c r="BZ129" s="20">
        <f t="shared" si="239"/>
        <v>-3000</v>
      </c>
      <c r="CA129" s="17">
        <f t="shared" si="316"/>
        <v>3000</v>
      </c>
      <c r="CB129" s="18">
        <f t="shared" si="316"/>
        <v>0</v>
      </c>
      <c r="CC129" s="43">
        <f t="shared" si="316"/>
        <v>0</v>
      </c>
      <c r="CD129" s="20">
        <f t="shared" si="318"/>
        <v>-3000</v>
      </c>
      <c r="CG129" s="93"/>
      <c r="CH129" s="93"/>
      <c r="CJ129" s="91">
        <f t="shared" si="317"/>
        <v>3000</v>
      </c>
      <c r="CK129" s="91">
        <f t="shared" si="317"/>
        <v>0</v>
      </c>
      <c r="CL129" s="91">
        <f t="shared" si="317"/>
        <v>0</v>
      </c>
      <c r="CM129" s="91">
        <f t="shared" si="317"/>
        <v>-3000</v>
      </c>
      <c r="CN129" s="91">
        <f t="shared" si="268"/>
        <v>3000</v>
      </c>
      <c r="CO129" s="91">
        <f t="shared" si="268"/>
        <v>0</v>
      </c>
      <c r="CP129" s="91">
        <f t="shared" si="268"/>
        <v>0</v>
      </c>
      <c r="CQ129" s="91">
        <f t="shared" si="268"/>
        <v>-3000</v>
      </c>
    </row>
    <row r="130" spans="1:95" ht="25.5" x14ac:dyDescent="0.3">
      <c r="A130" s="49" t="s">
        <v>136</v>
      </c>
      <c r="B130" s="33" t="s">
        <v>137</v>
      </c>
      <c r="C130" s="168"/>
      <c r="D130" s="18"/>
      <c r="E130" s="43"/>
      <c r="F130" s="170">
        <f t="shared" si="256"/>
        <v>0</v>
      </c>
      <c r="G130" s="89"/>
      <c r="H130" s="18"/>
      <c r="I130" s="18"/>
      <c r="J130" s="19">
        <f t="shared" si="257"/>
        <v>0</v>
      </c>
      <c r="K130" s="25"/>
      <c r="L130" s="18"/>
      <c r="M130" s="43"/>
      <c r="N130" s="19">
        <f t="shared" si="283"/>
        <v>0</v>
      </c>
      <c r="O130" s="17">
        <f t="shared" si="284"/>
        <v>0</v>
      </c>
      <c r="P130" s="43">
        <f t="shared" si="285"/>
        <v>0</v>
      </c>
      <c r="Q130" s="43">
        <f t="shared" si="285"/>
        <v>0</v>
      </c>
      <c r="R130" s="19">
        <f t="shared" si="286"/>
        <v>0</v>
      </c>
      <c r="S130" s="25"/>
      <c r="T130" s="18"/>
      <c r="U130" s="43"/>
      <c r="V130" s="19">
        <f t="shared" si="287"/>
        <v>0</v>
      </c>
      <c r="W130" s="25"/>
      <c r="X130" s="18"/>
      <c r="Y130" s="40"/>
      <c r="Z130" s="18">
        <f t="shared" si="288"/>
        <v>0</v>
      </c>
      <c r="AA130" s="89"/>
      <c r="AB130" s="18"/>
      <c r="AC130" s="31"/>
      <c r="AD130" s="19">
        <f t="shared" si="289"/>
        <v>0</v>
      </c>
      <c r="AE130" s="17">
        <f t="shared" si="313"/>
        <v>0</v>
      </c>
      <c r="AF130" s="18">
        <f t="shared" si="313"/>
        <v>0</v>
      </c>
      <c r="AG130" s="18">
        <f t="shared" si="313"/>
        <v>0</v>
      </c>
      <c r="AH130" s="19">
        <f t="shared" si="290"/>
        <v>0</v>
      </c>
      <c r="AI130" s="17">
        <f t="shared" si="314"/>
        <v>0</v>
      </c>
      <c r="AJ130" s="18">
        <f t="shared" si="314"/>
        <v>0</v>
      </c>
      <c r="AK130" s="18">
        <f t="shared" si="314"/>
        <v>0</v>
      </c>
      <c r="AL130" s="19">
        <f t="shared" si="291"/>
        <v>0</v>
      </c>
      <c r="AN130" s="18"/>
      <c r="AO130" s="43"/>
      <c r="AP130" s="20">
        <f>AN130-AM131</f>
        <v>-40524.660000000003</v>
      </c>
      <c r="AQ130" s="17"/>
      <c r="AR130" s="18"/>
      <c r="AS130" s="95"/>
      <c r="AT130" s="20">
        <f t="shared" si="293"/>
        <v>0</v>
      </c>
      <c r="AU130" s="17"/>
      <c r="AV130" s="18"/>
      <c r="AW130" s="95"/>
      <c r="AX130" s="20">
        <f t="shared" si="294"/>
        <v>0</v>
      </c>
      <c r="AY130" s="17">
        <f t="shared" si="315"/>
        <v>0</v>
      </c>
      <c r="AZ130" s="18">
        <f t="shared" si="315"/>
        <v>0</v>
      </c>
      <c r="BA130" s="18">
        <f t="shared" si="315"/>
        <v>0</v>
      </c>
      <c r="BB130" s="19">
        <f t="shared" si="295"/>
        <v>0</v>
      </c>
      <c r="BC130" s="190">
        <f t="shared" si="296"/>
        <v>0</v>
      </c>
      <c r="BD130" s="84">
        <f t="shared" si="296"/>
        <v>0</v>
      </c>
      <c r="BE130" s="84">
        <f t="shared" si="296"/>
        <v>0</v>
      </c>
      <c r="BF130" s="170">
        <f t="shared" si="297"/>
        <v>0</v>
      </c>
      <c r="BG130" s="83"/>
      <c r="BH130" s="18"/>
      <c r="BI130" s="43"/>
      <c r="BJ130" s="41">
        <f t="shared" si="298"/>
        <v>0</v>
      </c>
      <c r="BK130" s="44"/>
      <c r="BL130" s="43"/>
      <c r="BM130" s="95"/>
      <c r="BN130" s="41">
        <f t="shared" si="299"/>
        <v>0</v>
      </c>
      <c r="BO130" s="44">
        <v>5000</v>
      </c>
      <c r="BP130" s="43"/>
      <c r="BQ130" s="95"/>
      <c r="BR130" s="41">
        <f t="shared" si="300"/>
        <v>-5000</v>
      </c>
      <c r="BS130" s="17">
        <f t="shared" si="303"/>
        <v>5000</v>
      </c>
      <c r="BT130" s="18">
        <f t="shared" si="303"/>
        <v>0</v>
      </c>
      <c r="BU130" s="18">
        <f t="shared" si="303"/>
        <v>0</v>
      </c>
      <c r="BV130" s="20">
        <f t="shared" si="301"/>
        <v>-5000</v>
      </c>
      <c r="BW130" s="17">
        <f t="shared" si="304"/>
        <v>5000</v>
      </c>
      <c r="BX130" s="18">
        <f t="shared" si="304"/>
        <v>0</v>
      </c>
      <c r="BY130" s="18">
        <f t="shared" si="304"/>
        <v>0</v>
      </c>
      <c r="BZ130" s="20">
        <f t="shared" si="239"/>
        <v>-5000</v>
      </c>
      <c r="CA130" s="17">
        <f t="shared" si="316"/>
        <v>5000</v>
      </c>
      <c r="CB130" s="18">
        <f t="shared" si="316"/>
        <v>0</v>
      </c>
      <c r="CC130" s="43">
        <f t="shared" si="316"/>
        <v>0</v>
      </c>
      <c r="CD130" s="20">
        <f t="shared" si="318"/>
        <v>-5000</v>
      </c>
      <c r="CG130" s="93"/>
      <c r="CH130" s="93"/>
      <c r="CJ130" s="91">
        <f t="shared" si="317"/>
        <v>5000</v>
      </c>
      <c r="CK130" s="91">
        <f t="shared" si="317"/>
        <v>0</v>
      </c>
      <c r="CL130" s="91">
        <f t="shared" si="317"/>
        <v>0</v>
      </c>
      <c r="CM130" s="91">
        <f t="shared" si="317"/>
        <v>-5000</v>
      </c>
      <c r="CN130" s="91">
        <f t="shared" si="268"/>
        <v>5000</v>
      </c>
      <c r="CO130" s="91">
        <f t="shared" si="268"/>
        <v>0</v>
      </c>
      <c r="CP130" s="91">
        <f t="shared" si="268"/>
        <v>0</v>
      </c>
      <c r="CQ130" s="91">
        <f t="shared" si="268"/>
        <v>-5000</v>
      </c>
    </row>
    <row r="131" spans="1:95" ht="16.5" x14ac:dyDescent="0.3">
      <c r="A131" s="49" t="s">
        <v>138</v>
      </c>
      <c r="B131" s="10" t="s">
        <v>176</v>
      </c>
      <c r="C131" s="168">
        <v>39073.050000000003</v>
      </c>
      <c r="D131" s="31"/>
      <c r="E131" s="95"/>
      <c r="F131" s="170">
        <f t="shared" si="256"/>
        <v>-39073.050000000003</v>
      </c>
      <c r="G131" s="89">
        <v>40361.410000000003</v>
      </c>
      <c r="H131" s="18"/>
      <c r="I131" s="31">
        <v>167753</v>
      </c>
      <c r="J131" s="19">
        <f t="shared" si="257"/>
        <v>-40361.410000000003</v>
      </c>
      <c r="K131" s="25">
        <v>40361.410000000003</v>
      </c>
      <c r="L131" s="18">
        <v>262712</v>
      </c>
      <c r="M131" s="18"/>
      <c r="N131" s="19">
        <f t="shared" si="283"/>
        <v>222350.59</v>
      </c>
      <c r="O131" s="17">
        <f t="shared" si="284"/>
        <v>119795.87000000001</v>
      </c>
      <c r="P131" s="43">
        <f t="shared" si="285"/>
        <v>262712</v>
      </c>
      <c r="Q131" s="43">
        <f t="shared" si="285"/>
        <v>167753</v>
      </c>
      <c r="R131" s="19">
        <f t="shared" si="286"/>
        <v>142916.13</v>
      </c>
      <c r="S131" s="17">
        <v>40361.42</v>
      </c>
      <c r="T131" s="18"/>
      <c r="U131" s="43">
        <v>262712</v>
      </c>
      <c r="V131" s="19">
        <f t="shared" si="287"/>
        <v>-40361.42</v>
      </c>
      <c r="W131" s="25">
        <v>40361.4</v>
      </c>
      <c r="X131" s="18"/>
      <c r="Y131" s="30"/>
      <c r="Z131" s="18">
        <f t="shared" si="288"/>
        <v>-40361.4</v>
      </c>
      <c r="AA131" s="89">
        <v>40361.410000000003</v>
      </c>
      <c r="AB131" s="18">
        <v>505000</v>
      </c>
      <c r="AC131" s="31"/>
      <c r="AD131" s="19">
        <f t="shared" si="289"/>
        <v>464638.58999999997</v>
      </c>
      <c r="AE131" s="17">
        <f t="shared" si="313"/>
        <v>121084.23000000001</v>
      </c>
      <c r="AF131" s="18">
        <f t="shared" si="313"/>
        <v>505000</v>
      </c>
      <c r="AG131" s="18">
        <f t="shared" si="313"/>
        <v>262712</v>
      </c>
      <c r="AH131" s="19">
        <f t="shared" si="290"/>
        <v>383915.77</v>
      </c>
      <c r="AI131" s="17">
        <f t="shared" si="314"/>
        <v>240880.10000000003</v>
      </c>
      <c r="AJ131" s="18">
        <f t="shared" si="314"/>
        <v>767712</v>
      </c>
      <c r="AK131" s="18">
        <f t="shared" si="314"/>
        <v>430465</v>
      </c>
      <c r="AL131" s="19">
        <f t="shared" si="291"/>
        <v>526831.89999999991</v>
      </c>
      <c r="AM131" s="25">
        <v>40524.660000000003</v>
      </c>
      <c r="AN131" s="43"/>
      <c r="AO131" s="18">
        <v>505000</v>
      </c>
      <c r="AP131" s="20">
        <f>AN131-AM131</f>
        <v>-40524.660000000003</v>
      </c>
      <c r="AQ131" s="17">
        <v>40524.660000000003</v>
      </c>
      <c r="AR131" s="18"/>
      <c r="AS131" s="31"/>
      <c r="AT131" s="20">
        <f t="shared" si="293"/>
        <v>-40524.660000000003</v>
      </c>
      <c r="AU131" s="17">
        <v>40524.92</v>
      </c>
      <c r="AV131" s="18">
        <v>539749</v>
      </c>
      <c r="AW131" s="95"/>
      <c r="AX131" s="20">
        <f t="shared" si="294"/>
        <v>499224.08</v>
      </c>
      <c r="AY131" s="17">
        <f>AM131+AQ131+AU131-0.49</f>
        <v>121573.75</v>
      </c>
      <c r="AZ131" s="18">
        <f t="shared" ref="AZ131:BA131" si="319">AN131+AR131+AV131</f>
        <v>539749</v>
      </c>
      <c r="BA131" s="18">
        <f t="shared" si="319"/>
        <v>505000</v>
      </c>
      <c r="BB131" s="19">
        <f t="shared" si="295"/>
        <v>418175.25</v>
      </c>
      <c r="BC131" s="190">
        <f t="shared" si="296"/>
        <v>362453.85000000003</v>
      </c>
      <c r="BD131" s="84">
        <f t="shared" si="296"/>
        <v>1307461</v>
      </c>
      <c r="BE131" s="84">
        <f t="shared" si="296"/>
        <v>935465</v>
      </c>
      <c r="BF131" s="170">
        <f t="shared" si="297"/>
        <v>945007.14999999991</v>
      </c>
      <c r="BG131" s="83">
        <v>40524.92</v>
      </c>
      <c r="BH131" s="18"/>
      <c r="BI131" s="43">
        <v>539749</v>
      </c>
      <c r="BJ131" s="41">
        <f t="shared" si="298"/>
        <v>-40524.92</v>
      </c>
      <c r="BK131" s="44">
        <v>40524.839999999997</v>
      </c>
      <c r="BL131" s="43"/>
      <c r="BM131" s="95"/>
      <c r="BN131" s="41">
        <f t="shared" si="299"/>
        <v>-40524.839999999997</v>
      </c>
      <c r="BO131" s="44">
        <f>40524.66+0.41</f>
        <v>40525.070000000007</v>
      </c>
      <c r="BP131" s="43"/>
      <c r="BQ131" s="95"/>
      <c r="BR131" s="41">
        <f t="shared" si="300"/>
        <v>-40525.070000000007</v>
      </c>
      <c r="BS131" s="17">
        <f t="shared" si="303"/>
        <v>121574.83</v>
      </c>
      <c r="BT131" s="18">
        <f t="shared" si="303"/>
        <v>0</v>
      </c>
      <c r="BU131" s="18">
        <f t="shared" si="303"/>
        <v>539749</v>
      </c>
      <c r="BV131" s="20">
        <f t="shared" si="301"/>
        <v>-121574.83</v>
      </c>
      <c r="BW131" s="17">
        <f t="shared" si="304"/>
        <v>243148.58000000002</v>
      </c>
      <c r="BX131" s="18">
        <f t="shared" si="304"/>
        <v>539749</v>
      </c>
      <c r="BY131" s="18">
        <f t="shared" si="304"/>
        <v>1044749</v>
      </c>
      <c r="BZ131" s="20">
        <f t="shared" si="239"/>
        <v>296600.42</v>
      </c>
      <c r="CA131" s="17">
        <f t="shared" si="316"/>
        <v>484028.68000000005</v>
      </c>
      <c r="CB131" s="18">
        <f t="shared" si="316"/>
        <v>1307461</v>
      </c>
      <c r="CC131" s="43">
        <f t="shared" si="316"/>
        <v>1475214</v>
      </c>
      <c r="CD131" s="20">
        <f>CB131-CA131</f>
        <v>823432.32</v>
      </c>
      <c r="CG131" s="93"/>
      <c r="CH131" s="93"/>
      <c r="CJ131" s="91">
        <f t="shared" si="317"/>
        <v>121574.83</v>
      </c>
      <c r="CK131" s="91">
        <f t="shared" si="317"/>
        <v>0</v>
      </c>
      <c r="CL131" s="91">
        <f t="shared" si="317"/>
        <v>539749</v>
      </c>
      <c r="CM131" s="91">
        <f t="shared" si="317"/>
        <v>-121574.83</v>
      </c>
      <c r="CN131" s="91">
        <f t="shared" si="268"/>
        <v>484028.68000000005</v>
      </c>
      <c r="CO131" s="91">
        <f t="shared" si="268"/>
        <v>1307461</v>
      </c>
      <c r="CP131" s="91">
        <f t="shared" si="268"/>
        <v>1475214</v>
      </c>
      <c r="CQ131" s="91">
        <f t="shared" si="268"/>
        <v>823432.32000000007</v>
      </c>
    </row>
    <row r="132" spans="1:95" ht="16.5" hidden="1" x14ac:dyDescent="0.3">
      <c r="A132" s="9"/>
      <c r="B132" s="10" t="s">
        <v>140</v>
      </c>
      <c r="C132" s="25">
        <f t="shared" ref="C132:N132" si="320">C10-C33</f>
        <v>0</v>
      </c>
      <c r="D132" s="25">
        <f t="shared" si="320"/>
        <v>1175647.1199999996</v>
      </c>
      <c r="E132" s="25">
        <f t="shared" si="320"/>
        <v>850222.68999999948</v>
      </c>
      <c r="F132" s="173">
        <f t="shared" si="320"/>
        <v>1175647.1200000001</v>
      </c>
      <c r="G132" s="89">
        <f t="shared" si="320"/>
        <v>0</v>
      </c>
      <c r="H132" s="25">
        <f t="shared" si="320"/>
        <v>-45387.240000000689</v>
      </c>
      <c r="I132" s="25">
        <f t="shared" si="320"/>
        <v>782798.38999999966</v>
      </c>
      <c r="J132" s="25">
        <f t="shared" si="320"/>
        <v>-36714.150000000838</v>
      </c>
      <c r="K132" s="25">
        <f t="shared" si="320"/>
        <v>0</v>
      </c>
      <c r="L132" s="25">
        <f t="shared" si="320"/>
        <v>198847.64000000013</v>
      </c>
      <c r="M132" s="25">
        <f t="shared" si="320"/>
        <v>-974325.44999999925</v>
      </c>
      <c r="N132" s="25">
        <f t="shared" si="320"/>
        <v>207520.93999999959</v>
      </c>
      <c r="O132" s="25">
        <f t="shared" si="284"/>
        <v>0</v>
      </c>
      <c r="P132" s="25">
        <f>P10-P33</f>
        <v>1329107.5199999977</v>
      </c>
      <c r="Q132" s="25">
        <f>Q10-Q33</f>
        <v>658695.63000000268</v>
      </c>
      <c r="R132" s="30">
        <f t="shared" si="286"/>
        <v>1329107.5199999977</v>
      </c>
      <c r="S132" s="25">
        <f>S10-S33</f>
        <v>0</v>
      </c>
      <c r="T132" s="31">
        <f>T10-T33</f>
        <v>1335657.9600000004</v>
      </c>
      <c r="U132" s="31">
        <f>U10-U33</f>
        <v>729229.88999999966</v>
      </c>
      <c r="V132" s="31">
        <f>V7+V10-V33-V136</f>
        <v>1344330.810000001</v>
      </c>
      <c r="W132" s="25">
        <f>W10-W33</f>
        <v>0</v>
      </c>
      <c r="X132" s="31">
        <f>X10-X33</f>
        <v>1239014.4400000004</v>
      </c>
      <c r="Y132" s="30">
        <f>Y10-Y33</f>
        <v>899593.08000000007</v>
      </c>
      <c r="Z132" s="31">
        <f>Z7+Z10-Z33-Z136</f>
        <v>1247686.46</v>
      </c>
      <c r="AA132" s="89">
        <f>AA10-AA33</f>
        <v>0</v>
      </c>
      <c r="AB132" s="31">
        <f>AB10-AB33</f>
        <v>380909.34999999916</v>
      </c>
      <c r="AC132" s="31">
        <f>AC10-AC33</f>
        <v>1106502.29</v>
      </c>
      <c r="AD132" s="31">
        <f>AD7+AD8+AD9+AD10-AD33-AD135-AD136</f>
        <v>389581.54</v>
      </c>
      <c r="AE132" s="25">
        <f>AE10-AE33</f>
        <v>0</v>
      </c>
      <c r="AF132" s="31">
        <f>AF10-AF33-AF138</f>
        <v>2955581.75</v>
      </c>
      <c r="AG132" s="31">
        <f>AG10-AG33</f>
        <v>2735325.26</v>
      </c>
      <c r="AH132" s="31">
        <f>AH7+AH8+AH9+AH10-AH33-AH135-AH136</f>
        <v>2981598.81</v>
      </c>
      <c r="AI132" s="25">
        <f>AI10-AI33</f>
        <v>0</v>
      </c>
      <c r="AJ132" s="31">
        <f>AJ10-AJ33-AJ138</f>
        <v>4515270.7600000054</v>
      </c>
      <c r="AK132" s="31">
        <f>AK10-AK33</f>
        <v>3604326.6999999955</v>
      </c>
      <c r="AL132" s="31">
        <f>AL7+AL8+AL9+AL10-AL33-AL135-AL136-AL138</f>
        <v>4558634.2100000018</v>
      </c>
      <c r="AM132" s="25">
        <f>AM10-AM33</f>
        <v>0</v>
      </c>
      <c r="AN132" s="31">
        <f>AN7+AN10-AN33-AN136</f>
        <v>477470.36000000034</v>
      </c>
      <c r="AO132" s="31">
        <f>AO10-AO33</f>
        <v>34084.300000000745</v>
      </c>
      <c r="AP132" s="31">
        <f>AP7+AP10-AP33-AP136</f>
        <v>847954.31999999972</v>
      </c>
      <c r="AQ132" s="25">
        <f>AQ10-AQ33</f>
        <v>-0.48999999975785613</v>
      </c>
      <c r="AR132" s="31">
        <f>AR10-AR33</f>
        <v>682960.40000000037</v>
      </c>
      <c r="AS132" s="31">
        <f>AS10-AS33</f>
        <v>662775.19999999972</v>
      </c>
      <c r="AT132" s="31">
        <f>AT7+AT10-AT33-AT136-AT137-AT138</f>
        <v>691772.17000000016</v>
      </c>
      <c r="AU132" s="31">
        <f>AU7+AU10-AU33-AU136-AU137-AU138</f>
        <v>0</v>
      </c>
      <c r="AV132" s="31">
        <f>AV7+AV10-AV33-AV136-AV137-AV138</f>
        <v>-147827.90999999968</v>
      </c>
      <c r="AW132" s="31">
        <f>AW10-AW33</f>
        <v>468612.93999999901</v>
      </c>
      <c r="AX132" s="31">
        <f>AX7+AX10-AX33-AX136-AX137-AX138</f>
        <v>-139018.11999999962</v>
      </c>
      <c r="AY132" s="31">
        <f>AY7+AY10-AY33-AY136-AY137-AY138</f>
        <v>1.862645149230957E-9</v>
      </c>
      <c r="AZ132" s="31">
        <f>AZ7+AZ10-AZ33-AZ136-AZ137-AZ138</f>
        <v>1374275.3499999996</v>
      </c>
      <c r="BA132" s="31">
        <f>BA10-BA33</f>
        <v>1165472.4399999995</v>
      </c>
      <c r="BB132" s="30">
        <f>BB7+BB10-BB33-BB136-BB137-BB138</f>
        <v>1400707.8800000001</v>
      </c>
      <c r="BC132" s="168">
        <f>BC7+BC10-BC33-BC136-BC137-BC138</f>
        <v>0</v>
      </c>
      <c r="BD132" s="31">
        <f>BD7+BD10-BD33-BD136-BD137-BD138</f>
        <v>5889546.1100000031</v>
      </c>
      <c r="BE132" s="31">
        <f>BE10-BE33</f>
        <v>4769799.1400000006</v>
      </c>
      <c r="BF132" s="178">
        <f>BF7+BF10-BF33-BF136-BF137-BF138</f>
        <v>5959342.0900000026</v>
      </c>
      <c r="BG132" s="89">
        <f>BG7+BG10-BG33-BG136-BG137-BG138</f>
        <v>0</v>
      </c>
      <c r="BH132" s="31">
        <f>BH7+BH10-BH33-BH136-BH137-BH138</f>
        <v>-163891.50999999978</v>
      </c>
      <c r="BI132" s="31">
        <f>BI10-BI33</f>
        <v>-445515.69999999925</v>
      </c>
      <c r="BJ132" s="95">
        <f>BJ7+BJ10-BJ33-BJ136-BJ137-BJ138</f>
        <v>-155081.19000000015</v>
      </c>
      <c r="BK132" s="95">
        <f>BK7+BK10-BK33-BK136-BK137-BK138</f>
        <v>0</v>
      </c>
      <c r="BL132" s="95">
        <f>BL7+BL10-BL33-BL136-BL137-BL138</f>
        <v>512134.06000000006</v>
      </c>
      <c r="BM132" s="95">
        <f>BM10-BM33</f>
        <v>-320097.52000000048</v>
      </c>
      <c r="BN132" s="95">
        <f>BN7+BN10-BN33-BN136-BN137-BN138</f>
        <v>520945.04000000033</v>
      </c>
      <c r="BO132" s="95">
        <f>BO7+BO10-BO33-BO136-BO137-BO138</f>
        <v>0</v>
      </c>
      <c r="BP132" s="95">
        <f>BP7+BP10-BP33-BP136-BP137-BP138</f>
        <v>-1499676.8900000015</v>
      </c>
      <c r="BQ132" s="95">
        <f>BQ10-BQ33</f>
        <v>-1422325.5899999999</v>
      </c>
      <c r="BR132" s="31">
        <f>BR7+BR10-BR33-BR136-BR137-BR138</f>
        <v>-1490865.4000000006</v>
      </c>
      <c r="BS132" s="31">
        <f>BS7+BS10-BS33-BS136-BS137-BS138</f>
        <v>0</v>
      </c>
      <c r="BT132" s="31">
        <f>BT7+BT10-BT33-BT136-BT137-BT138</f>
        <v>-1151434.3400000017</v>
      </c>
      <c r="BU132" s="31">
        <f>BU10-BU33</f>
        <v>-2187938.8100000024</v>
      </c>
      <c r="BV132" s="31">
        <f>BV7+BV10-BV33-BV136-BV137-BV138</f>
        <v>-1125001.5500000031</v>
      </c>
      <c r="BW132" s="31">
        <f>BW7+BW10-BW33-BW136-BW137-BW138</f>
        <v>0</v>
      </c>
      <c r="BX132" s="31">
        <f>BX7+BX10-BX33-BX136-BX137-BX138</f>
        <v>222841.01000000164</v>
      </c>
      <c r="BY132" s="31">
        <f>BY10-BY33</f>
        <v>-906974.53000000492</v>
      </c>
      <c r="BZ132" s="31">
        <f>BZ7+BZ10-BZ33-BZ136-BZ137-BZ138</f>
        <v>275706.33000000217</v>
      </c>
      <c r="CA132" s="31">
        <f>CA7+CA10-CA33-CA136-CA137-CA138</f>
        <v>0</v>
      </c>
      <c r="CB132" s="31">
        <f>CB7+CB10-CB33-CB136-CB137-CB138</f>
        <v>3462127.609999992</v>
      </c>
      <c r="CC132" s="25">
        <f>CC10-CC33</f>
        <v>1455042.3299999833</v>
      </c>
      <c r="CD132" s="31">
        <f>CD7+CD10-CD33-CD136-CD137-CD138</f>
        <v>3462127.609999992</v>
      </c>
      <c r="CG132" s="93"/>
      <c r="CH132" s="93"/>
      <c r="CJ132" s="209" t="e">
        <f>CJ10-CJ33</f>
        <v>#REF!</v>
      </c>
      <c r="CK132" s="209" t="e">
        <f>CK10-CK33</f>
        <v>#REF!</v>
      </c>
      <c r="CL132" s="209" t="e">
        <f>CL10-CL33</f>
        <v>#REF!</v>
      </c>
      <c r="CM132" s="209" t="e">
        <f>CM10-CM33</f>
        <v>#REF!</v>
      </c>
      <c r="CN132" s="209" t="e">
        <f t="shared" si="268"/>
        <v>#REF!</v>
      </c>
      <c r="CO132" s="209" t="e">
        <f t="shared" si="268"/>
        <v>#REF!</v>
      </c>
      <c r="CP132" s="209" t="e">
        <f t="shared" si="268"/>
        <v>#REF!</v>
      </c>
      <c r="CQ132" s="209" t="e">
        <f t="shared" si="268"/>
        <v>#REF!</v>
      </c>
    </row>
    <row r="133" spans="1:95" ht="17.25" hidden="1" thickBot="1" x14ac:dyDescent="0.35">
      <c r="A133" s="9"/>
      <c r="B133" s="10" t="s">
        <v>141</v>
      </c>
      <c r="C133" s="181"/>
      <c r="D133" s="182"/>
      <c r="E133" s="197">
        <f>E7+E10-E33-1000000</f>
        <v>-149777.31000000052</v>
      </c>
      <c r="F133" s="183"/>
      <c r="G133" s="148"/>
      <c r="H133" s="51"/>
      <c r="I133" s="51">
        <f>I7+I10-I33</f>
        <v>782798.38999999966</v>
      </c>
      <c r="J133" s="52"/>
      <c r="K133" s="50"/>
      <c r="L133" s="51"/>
      <c r="M133" s="54">
        <f>M7+M10-M33</f>
        <v>-974325.44999999925</v>
      </c>
      <c r="N133" s="52"/>
      <c r="O133" s="53"/>
      <c r="P133" s="54"/>
      <c r="Q133" s="54">
        <f>Q7+Q10-Q33-1000000</f>
        <v>-341304.36999999732</v>
      </c>
      <c r="R133" s="19">
        <f>F133+J133+N133</f>
        <v>0</v>
      </c>
      <c r="S133" s="50"/>
      <c r="T133" s="51"/>
      <c r="U133" s="54">
        <f>U7+U10-U33+1000000</f>
        <v>1729229.8899999997</v>
      </c>
      <c r="V133" s="51">
        <f>V7+V10-V33</f>
        <v>1344330.810000001</v>
      </c>
      <c r="W133" s="51"/>
      <c r="X133" s="51">
        <f>X7+X10-X33</f>
        <v>1239014.4400000004</v>
      </c>
      <c r="Y133" s="149">
        <f>Y7+Y10-Y33-1000000</f>
        <v>-100406.91999999993</v>
      </c>
      <c r="Z133" s="147"/>
      <c r="AA133" s="148"/>
      <c r="AB133" s="51"/>
      <c r="AC133" s="54">
        <f>AC7+AC10-AC33-1500000</f>
        <v>-393497.70999999996</v>
      </c>
      <c r="AD133" s="52"/>
      <c r="AE133" s="53">
        <f>S133+W133+AA133</f>
        <v>0</v>
      </c>
      <c r="AF133" s="54">
        <f>T133+X133+AB133</f>
        <v>1239014.4400000004</v>
      </c>
      <c r="AG133" s="54">
        <f>AG7+AG10-AG33-1500000</f>
        <v>1235325.2599999998</v>
      </c>
      <c r="AH133" s="149"/>
      <c r="AI133" s="53">
        <f>AE133+O133</f>
        <v>0</v>
      </c>
      <c r="AJ133" s="54">
        <f>AF133+P133</f>
        <v>1239014.4400000004</v>
      </c>
      <c r="AK133" s="54">
        <f>AK7+AK10-AK33-AK135-AK136-2500000</f>
        <v>1079352.5999999954</v>
      </c>
      <c r="AL133" s="149"/>
      <c r="AM133" s="50"/>
      <c r="AN133" s="51"/>
      <c r="AO133" s="54">
        <f>AO7+AO10-AO33</f>
        <v>34084.300000000745</v>
      </c>
      <c r="AP133" s="150"/>
      <c r="AQ133" s="50"/>
      <c r="AR133" s="51"/>
      <c r="AS133" s="54">
        <f>AS7+AS10-AS33-2000000</f>
        <v>-1337224.8000000003</v>
      </c>
      <c r="AT133" s="150"/>
      <c r="AU133" s="50"/>
      <c r="AV133" s="51"/>
      <c r="AW133" s="54">
        <f>AW7+AW10-AW33</f>
        <v>468612.93999999901</v>
      </c>
      <c r="AX133" s="150"/>
      <c r="AY133" s="53">
        <f>AM133+AQ133+AU133</f>
        <v>0</v>
      </c>
      <c r="AZ133" s="54">
        <f>AN133+AR133+AV133</f>
        <v>0</v>
      </c>
      <c r="BA133" s="54">
        <f>BA7+BA10-BA33-2000000-BA135</f>
        <v>-845460.76000000047</v>
      </c>
      <c r="BB133" s="149"/>
      <c r="BC133" s="196"/>
      <c r="BD133" s="197"/>
      <c r="BE133" s="197">
        <f>BE7+BE10-BE33-BE135-4500000</f>
        <v>233891.84000000078</v>
      </c>
      <c r="BF133" s="198"/>
      <c r="BG133" s="148"/>
      <c r="BH133" s="51"/>
      <c r="BI133" s="54">
        <f>BI7+BI10-BI33-BI135+12000000</f>
        <v>11549344.700000001</v>
      </c>
      <c r="BJ133" s="41">
        <f>BH133-BG133</f>
        <v>0</v>
      </c>
      <c r="BK133" s="50"/>
      <c r="BL133" s="51"/>
      <c r="BM133" s="54">
        <f>BM7+BM10-BM33-BM135</f>
        <v>-320097.52000000048</v>
      </c>
      <c r="BN133" s="27">
        <f>BL133-BK133</f>
        <v>0</v>
      </c>
      <c r="BO133" s="50"/>
      <c r="BP133" s="51"/>
      <c r="BQ133" s="54">
        <f>BQ7+BQ10-BQ33-BQ135</f>
        <v>-1427072.89</v>
      </c>
      <c r="BR133" s="41">
        <f>BP133-BO133</f>
        <v>0</v>
      </c>
      <c r="BS133" s="53">
        <f>BG133+BK133+BO133</f>
        <v>0</v>
      </c>
      <c r="BT133" s="54">
        <f>BH133+BL133+BP133</f>
        <v>0</v>
      </c>
      <c r="BU133" s="51">
        <f>BU7+BU10-BU33-BU135+12000000</f>
        <v>9802174.2899999972</v>
      </c>
      <c r="BV133" s="20">
        <f>BT133-BS133</f>
        <v>0</v>
      </c>
      <c r="BW133" s="53">
        <f>BS133+AY133</f>
        <v>0</v>
      </c>
      <c r="BX133" s="54">
        <f>BT133+AZ133</f>
        <v>0</v>
      </c>
      <c r="BY133" s="51">
        <f>BY7+BY10-BY33-BY135+10000000</f>
        <v>9072205.3699999955</v>
      </c>
      <c r="BZ133" s="55"/>
      <c r="CA133" s="53">
        <f>BW133+AI133</f>
        <v>0</v>
      </c>
      <c r="CB133" s="54">
        <f>BX133+AJ133</f>
        <v>1239014.4400000004</v>
      </c>
      <c r="CC133" s="54">
        <f>CC7+CC10-CC33-CC135+7500000</f>
        <v>8909248.1299999841</v>
      </c>
      <c r="CD133" s="55"/>
      <c r="CJ133" s="151"/>
      <c r="CK133" s="151"/>
      <c r="CL133" s="151"/>
      <c r="CM133" s="151"/>
      <c r="CN133" s="69"/>
      <c r="CO133" s="69"/>
      <c r="CP133" s="69"/>
      <c r="CQ133" s="69"/>
    </row>
    <row r="134" spans="1:95" ht="16.5" hidden="1" x14ac:dyDescent="0.3">
      <c r="B134" s="1" t="s">
        <v>171</v>
      </c>
      <c r="C134" s="165"/>
      <c r="E134" s="162">
        <f>1071201.36+17374.93</f>
        <v>1088576.29</v>
      </c>
      <c r="I134" s="1">
        <v>2010401.53</v>
      </c>
      <c r="K134" s="56"/>
      <c r="L134" s="57"/>
      <c r="M134" s="202">
        <v>1198591.17</v>
      </c>
      <c r="N134" s="152"/>
      <c r="Q134" s="162">
        <f>M134</f>
        <v>1198591.17</v>
      </c>
      <c r="U134" s="162">
        <f>2896497.21+12525.32</f>
        <v>2909022.53</v>
      </c>
      <c r="Y134" s="162">
        <f>3001387.34+21016.1</f>
        <v>3022403.44</v>
      </c>
      <c r="AC134" s="162">
        <v>2786777.82</v>
      </c>
      <c r="AG134" s="1">
        <v>2786777.82</v>
      </c>
      <c r="AK134" s="162">
        <v>2786777.82</v>
      </c>
      <c r="AM134" s="57"/>
      <c r="AN134" s="57"/>
      <c r="AO134" s="202">
        <v>3131315.78</v>
      </c>
      <c r="AP134" s="57"/>
      <c r="AQ134" s="57"/>
      <c r="AR134" s="57"/>
      <c r="AS134" s="202">
        <v>1955298.22</v>
      </c>
      <c r="AT134" s="57"/>
      <c r="AU134" s="57"/>
      <c r="AV134" s="57"/>
      <c r="AW134" s="202">
        <v>2640697.41</v>
      </c>
      <c r="AX134" s="57"/>
      <c r="AY134" s="57"/>
      <c r="AZ134" s="57"/>
      <c r="BA134" s="202">
        <f>AW134</f>
        <v>2640697.41</v>
      </c>
      <c r="BB134" s="153"/>
      <c r="BC134" s="186"/>
      <c r="BD134" s="186"/>
      <c r="BE134" s="186">
        <f>BA134</f>
        <v>2640697.41</v>
      </c>
      <c r="BF134" s="57"/>
      <c r="BG134" s="57"/>
      <c r="BH134" s="57"/>
      <c r="BI134" s="202">
        <v>14351630.68</v>
      </c>
      <c r="BJ134" s="57"/>
      <c r="BK134" s="57"/>
      <c r="BL134" s="57"/>
      <c r="BM134" s="57">
        <v>14155876.199999999</v>
      </c>
      <c r="BN134" s="57"/>
      <c r="BO134" s="57"/>
      <c r="BP134" s="57"/>
      <c r="BQ134" s="202">
        <v>8361982.2000000002</v>
      </c>
      <c r="BR134" s="57"/>
      <c r="BS134" s="57"/>
      <c r="BT134" s="57"/>
      <c r="BU134" s="202">
        <v>8361982.2000000002</v>
      </c>
      <c r="BV134" s="57"/>
      <c r="BW134" s="57"/>
      <c r="BX134" s="57"/>
      <c r="BY134" s="202">
        <v>8361982.2000000002</v>
      </c>
      <c r="BZ134" s="57"/>
      <c r="CA134" s="57"/>
      <c r="CB134" s="57"/>
      <c r="CC134" s="202">
        <v>8361982.2000000002</v>
      </c>
      <c r="CD134" s="57"/>
      <c r="CJ134" s="69"/>
      <c r="CK134" s="69"/>
      <c r="CL134" s="69"/>
      <c r="CM134" s="69"/>
      <c r="CN134" s="69"/>
      <c r="CO134" s="69"/>
      <c r="CP134" s="69"/>
      <c r="CQ134" s="69"/>
    </row>
    <row r="135" spans="1:95" ht="21" hidden="1" customHeight="1" thickBot="1" x14ac:dyDescent="0.35">
      <c r="B135" s="58" t="s">
        <v>172</v>
      </c>
      <c r="C135" s="25"/>
      <c r="D135" s="59"/>
      <c r="E135" s="60">
        <v>4078.21</v>
      </c>
      <c r="F135" s="60"/>
      <c r="G135" s="59"/>
      <c r="H135" s="59"/>
      <c r="I135" s="59"/>
      <c r="J135" s="154"/>
      <c r="K135" s="61"/>
      <c r="L135" s="62"/>
      <c r="M135" s="62">
        <v>15790.89</v>
      </c>
      <c r="N135" s="155"/>
      <c r="O135" s="63"/>
      <c r="P135" s="59"/>
      <c r="Q135" s="60">
        <f>E135+I135+M135</f>
        <v>19869.099999999999</v>
      </c>
      <c r="R135" s="60"/>
      <c r="S135" s="59"/>
      <c r="T135" s="59"/>
      <c r="U135" s="59">
        <v>1500</v>
      </c>
      <c r="V135" s="59"/>
      <c r="W135" s="59"/>
      <c r="X135" s="59"/>
      <c r="Y135" s="59"/>
      <c r="Z135" s="59"/>
      <c r="AA135" s="59"/>
      <c r="AB135" s="59"/>
      <c r="AC135" s="59">
        <v>3605</v>
      </c>
      <c r="AD135" s="59"/>
      <c r="AE135" s="59"/>
      <c r="AF135" s="59"/>
      <c r="AG135" s="59">
        <f>U135+Y135+AC135</f>
        <v>5105</v>
      </c>
      <c r="AH135" s="59"/>
      <c r="AI135" s="59"/>
      <c r="AJ135" s="59"/>
      <c r="AK135" s="60">
        <f>Q135+AG135</f>
        <v>24974.1</v>
      </c>
      <c r="AL135" s="64"/>
      <c r="AM135" s="59"/>
      <c r="AN135" s="59"/>
      <c r="AO135" s="59">
        <v>10933.2</v>
      </c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>
        <f>AW135+AS135+AO135</f>
        <v>10933.2</v>
      </c>
      <c r="BB135" s="154"/>
      <c r="BC135" s="84"/>
      <c r="BD135" s="84"/>
      <c r="BE135" s="124">
        <f>(BA135+AK135)</f>
        <v>35907.300000000003</v>
      </c>
      <c r="BF135" s="59"/>
      <c r="BG135" s="59"/>
      <c r="BH135" s="59"/>
      <c r="BI135" s="59">
        <v>5139.6000000000004</v>
      </c>
      <c r="BJ135" s="59"/>
      <c r="BK135" s="59"/>
      <c r="BL135" s="59"/>
      <c r="BM135" s="59"/>
      <c r="BN135" s="59"/>
      <c r="BO135" s="59"/>
      <c r="BP135" s="59"/>
      <c r="BQ135" s="59">
        <v>4747.3</v>
      </c>
      <c r="BR135" s="59"/>
      <c r="BS135" s="59"/>
      <c r="BT135" s="59"/>
      <c r="BU135" s="59">
        <f>BI135+BM135+BQ135</f>
        <v>9886.9000000000015</v>
      </c>
      <c r="BV135" s="59"/>
      <c r="BW135" s="59"/>
      <c r="BX135" s="59"/>
      <c r="BY135" s="59">
        <f>BU135+BA135</f>
        <v>20820.100000000002</v>
      </c>
      <c r="BZ135" s="59"/>
      <c r="CA135" s="59"/>
      <c r="CB135" s="59"/>
      <c r="CC135" s="60">
        <f>BY135+AK135</f>
        <v>45794.2</v>
      </c>
      <c r="CD135" s="59"/>
      <c r="CJ135" s="69"/>
      <c r="CK135" s="69"/>
      <c r="CL135" s="69"/>
      <c r="CM135" s="69"/>
      <c r="CN135" s="69"/>
      <c r="CO135" s="69"/>
      <c r="CP135" s="69"/>
      <c r="CQ135" s="69"/>
    </row>
    <row r="136" spans="1:95" ht="15" hidden="1" customHeight="1" outlineLevel="1" x14ac:dyDescent="0.3">
      <c r="B136" s="65" t="s">
        <v>142</v>
      </c>
      <c r="C136" s="156"/>
      <c r="Q136" s="59"/>
      <c r="AG136" s="59"/>
      <c r="AK136" s="60">
        <f>Q136+AG136</f>
        <v>0</v>
      </c>
      <c r="AL136" s="66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>
        <f>AW136+AS136+AO136</f>
        <v>0</v>
      </c>
      <c r="BB136" s="59"/>
      <c r="BC136" s="59"/>
      <c r="BD136" s="59"/>
      <c r="BE136" s="60"/>
      <c r="BF136" s="59"/>
      <c r="BG136" s="59"/>
      <c r="BH136" s="59"/>
      <c r="BI136" s="157"/>
      <c r="BJ136" s="59"/>
      <c r="BK136" s="59"/>
      <c r="BL136" s="59"/>
      <c r="BM136" s="59"/>
      <c r="BN136" s="59"/>
      <c r="BO136" s="59"/>
      <c r="BP136" s="59"/>
      <c r="BQ136" s="59">
        <v>26478.78</v>
      </c>
      <c r="BR136" s="59"/>
      <c r="BS136" s="59"/>
      <c r="BT136" s="59"/>
      <c r="BU136" s="59">
        <f>BI136+BM136+BQ136</f>
        <v>26478.78</v>
      </c>
      <c r="BV136" s="59"/>
      <c r="BW136" s="59"/>
      <c r="BX136" s="59"/>
      <c r="BY136" s="59">
        <f>BU136+BA136</f>
        <v>26478.78</v>
      </c>
      <c r="BZ136" s="59"/>
      <c r="CA136" s="59"/>
      <c r="CB136" s="59"/>
      <c r="CC136" s="60">
        <f>BY136+AK136</f>
        <v>26478.78</v>
      </c>
      <c r="CD136" s="59"/>
      <c r="CJ136" s="69"/>
      <c r="CK136" s="69"/>
      <c r="CL136" s="69"/>
      <c r="CM136" s="69"/>
      <c r="CN136" s="69"/>
      <c r="CO136" s="69"/>
      <c r="CP136" s="69"/>
      <c r="CQ136" s="69"/>
    </row>
    <row r="137" spans="1:95" ht="15" hidden="1" customHeight="1" outlineLevel="1" x14ac:dyDescent="0.3">
      <c r="B137" s="65" t="s">
        <v>143</v>
      </c>
      <c r="C137" s="156"/>
      <c r="AG137" s="59"/>
      <c r="AK137" s="66"/>
      <c r="AL137" s="66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6"/>
      <c r="BF137" s="67"/>
      <c r="BG137" s="67"/>
      <c r="BH137" s="67"/>
      <c r="BI137" s="66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59">
        <f>BI137+BM137+BQ137</f>
        <v>0</v>
      </c>
      <c r="BV137" s="67"/>
      <c r="BW137" s="67"/>
      <c r="BX137" s="67"/>
      <c r="BY137" s="59">
        <f>BU137+BA137</f>
        <v>0</v>
      </c>
      <c r="BZ137" s="67"/>
      <c r="CA137" s="67"/>
      <c r="CB137" s="67"/>
      <c r="CC137" s="60">
        <f>BY137+AK137</f>
        <v>0</v>
      </c>
      <c r="CD137" s="67"/>
    </row>
    <row r="138" spans="1:95" ht="15" hidden="1" customHeight="1" outlineLevel="1" x14ac:dyDescent="0.3">
      <c r="B138" s="65" t="s">
        <v>144</v>
      </c>
      <c r="C138" s="156"/>
      <c r="V138" s="3"/>
      <c r="AG138" s="59"/>
      <c r="AK138" s="1">
        <f>AG138+Q138</f>
        <v>0</v>
      </c>
      <c r="AO138" s="158"/>
      <c r="BQ138" s="3"/>
      <c r="BU138" s="59">
        <f>BI138+BM138+BQ138</f>
        <v>0</v>
      </c>
      <c r="BY138" s="59">
        <f>BU138+BA138</f>
        <v>0</v>
      </c>
      <c r="CC138" s="60"/>
    </row>
    <row r="139" spans="1:95" hidden="1" collapsed="1" x14ac:dyDescent="0.2">
      <c r="B139" s="1" t="s">
        <v>161</v>
      </c>
      <c r="C139" s="159"/>
      <c r="E139" s="3">
        <v>4000000</v>
      </c>
      <c r="M139" s="3"/>
      <c r="AC139" s="3"/>
      <c r="AG139" s="3"/>
      <c r="AO139" s="1">
        <v>500000</v>
      </c>
      <c r="AS139" s="1">
        <v>1500000</v>
      </c>
    </row>
    <row r="140" spans="1:95" ht="0.75" hidden="1" customHeight="1" x14ac:dyDescent="0.2">
      <c r="C140" s="159"/>
      <c r="E140" s="3"/>
      <c r="F140" s="3"/>
      <c r="I140" s="3"/>
      <c r="J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K140" s="3"/>
      <c r="AO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>
        <f>BE132-BE133</f>
        <v>4535907.3</v>
      </c>
      <c r="BI140" s="3">
        <f>BI132-BI134</f>
        <v>-14797146.379999999</v>
      </c>
      <c r="BM140" s="3"/>
      <c r="BQ140" s="3">
        <f>BQ132-BQ134</f>
        <v>-9784307.7899999991</v>
      </c>
    </row>
    <row r="141" spans="1:95" ht="15.75" hidden="1" x14ac:dyDescent="0.2">
      <c r="B141" s="68" t="s">
        <v>145</v>
      </c>
      <c r="C141" s="159"/>
      <c r="U141" s="3"/>
      <c r="AO141" s="3"/>
      <c r="CC141" s="3"/>
    </row>
    <row r="142" spans="1:95" hidden="1" x14ac:dyDescent="0.2">
      <c r="B142" s="1" t="s">
        <v>146</v>
      </c>
      <c r="C142" s="159"/>
      <c r="E142" s="3">
        <f>E133-E134-E135</f>
        <v>-1242431.8100000005</v>
      </c>
      <c r="F142" s="3"/>
      <c r="I142" s="3">
        <f>I133-I134-I135</f>
        <v>-1227603.1400000004</v>
      </c>
      <c r="J142" s="3"/>
      <c r="L142" s="3"/>
      <c r="M142" s="160">
        <f>M133-M134-M135</f>
        <v>-2188707.5099999993</v>
      </c>
      <c r="Q142" s="3"/>
      <c r="U142" s="3">
        <f>U133-U134-U135</f>
        <v>-1181292.6400000001</v>
      </c>
      <c r="Y142" s="3">
        <f>Y133-Y134-Y135</f>
        <v>-3122810.36</v>
      </c>
      <c r="AC142" s="3">
        <f>AC133-AC134-AC135</f>
        <v>-3183880.53</v>
      </c>
      <c r="AG142" s="3">
        <f>AG133-AG134-AG135</f>
        <v>-1556557.56</v>
      </c>
      <c r="AK142" s="3">
        <f>AK133-AK134</f>
        <v>-1707425.2200000044</v>
      </c>
      <c r="AM142" s="3"/>
      <c r="AO142" s="3">
        <f>AO133-AO134-AO135</f>
        <v>-3108164.6799999992</v>
      </c>
      <c r="AS142" s="72">
        <f>AS133-AS134-AS135</f>
        <v>-3292523.0200000005</v>
      </c>
      <c r="AW142" s="3">
        <f>AW133-AW134</f>
        <v>-2172084.4700000011</v>
      </c>
      <c r="BA142" s="3">
        <f>BA133-BA134</f>
        <v>-3486158.1700000009</v>
      </c>
      <c r="BE142" s="3">
        <f>BE133-BE134</f>
        <v>-2406805.5699999994</v>
      </c>
      <c r="BH142" s="161"/>
      <c r="BI142" s="72">
        <f>BI133-BI134</f>
        <v>-2802285.9799999986</v>
      </c>
      <c r="BM142" s="3">
        <f>BM133-BM134</f>
        <v>-14475973.719999999</v>
      </c>
      <c r="BQ142" s="203">
        <f>BQ133-BQ134</f>
        <v>-9789055.0899999999</v>
      </c>
      <c r="BU142" s="3">
        <f>BU133-BU134</f>
        <v>1440192.0899999971</v>
      </c>
      <c r="BY142" s="3">
        <f>BY133-BY134</f>
        <v>710223.16999999527</v>
      </c>
      <c r="CC142" s="3">
        <f>CC133-CC134</f>
        <v>547265.92999998387</v>
      </c>
    </row>
    <row r="143" spans="1:95" x14ac:dyDescent="0.2">
      <c r="C143" s="159"/>
      <c r="Q143" s="3">
        <f>Q133-Q134-Q135</f>
        <v>-1559764.6399999973</v>
      </c>
      <c r="AC143" s="3"/>
    </row>
    <row r="144" spans="1:95" x14ac:dyDescent="0.2">
      <c r="E144" s="3"/>
      <c r="M144" s="3"/>
    </row>
    <row r="145" spans="2:52" x14ac:dyDescent="0.2">
      <c r="B145" s="1" t="s">
        <v>180</v>
      </c>
      <c r="E145" s="3"/>
      <c r="M145" s="3"/>
      <c r="AZ145" s="3"/>
    </row>
    <row r="147" spans="2:52" x14ac:dyDescent="0.2">
      <c r="AW147" s="3"/>
    </row>
    <row r="148" spans="2:52" x14ac:dyDescent="0.2">
      <c r="X148" s="3"/>
      <c r="Y148" s="3"/>
      <c r="Z148" s="3"/>
    </row>
    <row r="150" spans="2:52" x14ac:dyDescent="0.2">
      <c r="AB150" s="3"/>
    </row>
  </sheetData>
  <sheetProtection selectLockedCells="1" selectUnlockedCells="1"/>
  <mergeCells count="29">
    <mergeCell ref="AQ5:AT5"/>
    <mergeCell ref="AU5:AX5"/>
    <mergeCell ref="AY5:BB5"/>
    <mergeCell ref="A5:A6"/>
    <mergeCell ref="B5:B6"/>
    <mergeCell ref="C5:F5"/>
    <mergeCell ref="G5:J5"/>
    <mergeCell ref="K5:N5"/>
    <mergeCell ref="O5:R5"/>
    <mergeCell ref="S5:V5"/>
    <mergeCell ref="W5:Z5"/>
    <mergeCell ref="AA5:AD5"/>
    <mergeCell ref="AM5:AP5"/>
    <mergeCell ref="A3:CD4"/>
    <mergeCell ref="A95:B95"/>
    <mergeCell ref="CA5:CD5"/>
    <mergeCell ref="CJ5:CM5"/>
    <mergeCell ref="CN5:CQ5"/>
    <mergeCell ref="A10:B10"/>
    <mergeCell ref="A33:B33"/>
    <mergeCell ref="A34:B34"/>
    <mergeCell ref="BC5:BF5"/>
    <mergeCell ref="BG5:BJ5"/>
    <mergeCell ref="BK5:BN5"/>
    <mergeCell ref="BO5:BR5"/>
    <mergeCell ref="BS5:BV5"/>
    <mergeCell ref="BW5:BZ5"/>
    <mergeCell ref="AE5:AH5"/>
    <mergeCell ref="AI5:AK5"/>
  </mergeCells>
  <pageMargins left="0.25" right="0.25" top="0.75" bottom="0.75" header="0.3" footer="0.3"/>
  <pageSetup paperSize="9" scale="85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DB72F-60BF-4FED-9293-E08BCC05B0FB}">
  <dimension ref="A1:CQ149"/>
  <sheetViews>
    <sheetView zoomScale="98" zoomScaleNormal="98" workbookViewId="0">
      <pane xSplit="2" ySplit="5" topLeftCell="CB30" activePane="bottomRight" state="frozen"/>
      <selection pane="topRight" activeCell="AP1" sqref="AP1"/>
      <selection pane="bottomLeft" activeCell="A6" sqref="A6"/>
      <selection pane="bottomRight" activeCell="CB41" sqref="CB41"/>
    </sheetView>
  </sheetViews>
  <sheetFormatPr defaultColWidth="8.7109375" defaultRowHeight="14.25" outlineLevelRow="2" x14ac:dyDescent="0.2"/>
  <cols>
    <col min="1" max="1" width="7.140625" style="1" customWidth="1"/>
    <col min="2" max="2" width="38.5703125" style="1" customWidth="1"/>
    <col min="3" max="3" width="17" style="71" customWidth="1"/>
    <col min="4" max="4" width="16.28515625" style="1" customWidth="1"/>
    <col min="5" max="5" width="16.42578125" style="1" customWidth="1"/>
    <col min="6" max="6" width="15.28515625" style="1" customWidth="1"/>
    <col min="7" max="7" width="16.85546875" style="1" customWidth="1"/>
    <col min="8" max="8" width="16.7109375" style="1" customWidth="1"/>
    <col min="9" max="9" width="16.85546875" style="1" customWidth="1"/>
    <col min="10" max="10" width="15.28515625" style="1" customWidth="1"/>
    <col min="11" max="11" width="16.28515625" style="1" customWidth="1"/>
    <col min="12" max="12" width="16.7109375" style="1" customWidth="1"/>
    <col min="13" max="13" width="16.28515625" style="1" customWidth="1"/>
    <col min="14" max="14" width="15.28515625" style="1" customWidth="1"/>
    <col min="15" max="15" width="17.140625" style="1" customWidth="1"/>
    <col min="16" max="16" width="16.85546875" style="1" customWidth="1"/>
    <col min="17" max="17" width="17.140625" style="1" customWidth="1"/>
    <col min="18" max="18" width="15.28515625" style="1" customWidth="1"/>
    <col min="19" max="19" width="17.42578125" style="1" customWidth="1"/>
    <col min="20" max="20" width="17" style="1" customWidth="1"/>
    <col min="21" max="21" width="16.7109375" style="1" customWidth="1"/>
    <col min="22" max="22" width="15.28515625" style="1" customWidth="1"/>
    <col min="23" max="23" width="17.42578125" style="1" customWidth="1"/>
    <col min="24" max="24" width="16.42578125" style="1" customWidth="1"/>
    <col min="25" max="25" width="17.5703125" style="1" customWidth="1"/>
    <col min="26" max="26" width="15.28515625" style="1" customWidth="1"/>
    <col min="27" max="27" width="16.85546875" style="1" customWidth="1"/>
    <col min="28" max="28" width="17.140625" style="1" customWidth="1"/>
    <col min="29" max="29" width="16.85546875" style="1" customWidth="1"/>
    <col min="30" max="30" width="15.28515625" style="1" customWidth="1"/>
    <col min="31" max="31" width="16.85546875" style="1" customWidth="1"/>
    <col min="32" max="32" width="16.42578125" style="1" customWidth="1"/>
    <col min="33" max="33" width="16.7109375" style="1" customWidth="1"/>
    <col min="34" max="34" width="15.28515625" style="1" customWidth="1"/>
    <col min="35" max="35" width="17" style="1" customWidth="1"/>
    <col min="36" max="36" width="17.85546875" style="1" customWidth="1"/>
    <col min="37" max="37" width="17.42578125" style="1" customWidth="1"/>
    <col min="38" max="38" width="15.28515625" style="1" customWidth="1"/>
    <col min="39" max="39" width="16.28515625" style="1" customWidth="1"/>
    <col min="40" max="40" width="16.140625" style="1" customWidth="1"/>
    <col min="41" max="41" width="18" style="1" customWidth="1"/>
    <col min="42" max="42" width="16.85546875" style="1" customWidth="1"/>
    <col min="43" max="43" width="16.7109375" style="1" customWidth="1"/>
    <col min="44" max="44" width="15.7109375" style="1" customWidth="1"/>
    <col min="45" max="46" width="17.42578125" style="1" customWidth="1"/>
    <col min="47" max="47" width="16.140625" style="1" customWidth="1"/>
    <col min="48" max="49" width="14.28515625" style="1" customWidth="1"/>
    <col min="50" max="50" width="17.42578125" style="1" customWidth="1"/>
    <col min="51" max="51" width="16.140625" style="1" customWidth="1"/>
    <col min="52" max="52" width="15.5703125" style="1" customWidth="1"/>
    <col min="53" max="53" width="16.85546875" style="1" customWidth="1"/>
    <col min="54" max="54" width="17.140625" style="1" customWidth="1"/>
    <col min="55" max="55" width="15" style="1" customWidth="1"/>
    <col min="56" max="56" width="15.140625" style="1" customWidth="1"/>
    <col min="57" max="57" width="16.7109375" style="1" customWidth="1"/>
    <col min="58" max="58" width="12.42578125" style="1" customWidth="1"/>
    <col min="59" max="59" width="12.85546875" style="1" customWidth="1"/>
    <col min="60" max="60" width="13.85546875" style="1" customWidth="1"/>
    <col min="61" max="61" width="16" style="1" customWidth="1"/>
    <col min="62" max="62" width="14.7109375" style="1" customWidth="1"/>
    <col min="63" max="63" width="14.5703125" style="1" customWidth="1"/>
    <col min="64" max="64" width="16.140625" style="1" customWidth="1"/>
    <col min="65" max="65" width="14.5703125" style="1" customWidth="1"/>
    <col min="66" max="66" width="15.28515625" style="1" customWidth="1"/>
    <col min="67" max="67" width="16.85546875" style="1" customWidth="1"/>
    <col min="68" max="69" width="13.42578125" style="1" customWidth="1"/>
    <col min="70" max="70" width="16.85546875" style="1" customWidth="1"/>
    <col min="71" max="71" width="14.5703125" style="1" customWidth="1"/>
    <col min="72" max="72" width="13.85546875" style="1" customWidth="1"/>
    <col min="73" max="73" width="13.28515625" style="1" customWidth="1"/>
    <col min="74" max="74" width="14.140625" style="1" customWidth="1"/>
    <col min="75" max="75" width="11.7109375" style="1" customWidth="1"/>
    <col min="76" max="76" width="12.140625" style="1" customWidth="1"/>
    <col min="77" max="77" width="14" style="1" customWidth="1"/>
    <col min="78" max="78" width="13.85546875" style="1" customWidth="1"/>
    <col min="79" max="79" width="14.28515625" style="1" customWidth="1"/>
    <col min="80" max="80" width="13.42578125" style="1" customWidth="1"/>
    <col min="81" max="81" width="14.85546875" style="1" customWidth="1"/>
    <col min="82" max="82" width="13.140625" style="1" customWidth="1"/>
    <col min="83" max="83" width="8.7109375" style="1" customWidth="1"/>
    <col min="84" max="84" width="13.28515625" style="1" customWidth="1"/>
    <col min="85" max="85" width="16" style="1" customWidth="1"/>
    <col min="86" max="86" width="19.7109375" style="1" customWidth="1"/>
    <col min="87" max="87" width="8.7109375" style="1" customWidth="1"/>
    <col min="88" max="88" width="14.7109375" style="1" hidden="1" customWidth="1"/>
    <col min="89" max="89" width="13.140625" style="1" hidden="1" customWidth="1"/>
    <col min="90" max="90" width="12.140625" style="1" hidden="1" customWidth="1"/>
    <col min="91" max="92" width="16.140625" style="1" hidden="1" customWidth="1"/>
    <col min="93" max="93" width="15.5703125" style="1" hidden="1" customWidth="1"/>
    <col min="94" max="94" width="15" style="1" hidden="1" customWidth="1"/>
    <col min="95" max="95" width="16.28515625" style="1" hidden="1" customWidth="1"/>
    <col min="96" max="16384" width="8.7109375" style="1"/>
  </cols>
  <sheetData>
    <row r="1" spans="1:95" x14ac:dyDescent="0.2">
      <c r="B1" s="72"/>
      <c r="C1" s="206">
        <f>K36+K97</f>
        <v>598459.29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>
        <f>E32+I32+M32</f>
        <v>10212298.98</v>
      </c>
      <c r="R1" s="3"/>
      <c r="T1" s="3">
        <f>T16+T18</f>
        <v>685248.9</v>
      </c>
      <c r="W1" s="3"/>
      <c r="X1" s="3"/>
      <c r="Y1" s="3"/>
      <c r="Z1" s="3"/>
      <c r="AA1" s="3"/>
      <c r="AB1" s="3"/>
      <c r="AC1" s="3"/>
      <c r="AF1" s="3"/>
      <c r="AG1" s="3"/>
      <c r="AH1" s="3"/>
      <c r="AJ1" s="3">
        <f>BD21+BD22+BD23+BD28+BD29</f>
        <v>3102599.15</v>
      </c>
      <c r="AL1" s="3">
        <f>AJ35+AJ36+AJ96+AJ97</f>
        <v>12047422.41</v>
      </c>
      <c r="AM1" s="3">
        <f>AJ100+AJ39</f>
        <v>1708848.34</v>
      </c>
      <c r="AN1" s="3">
        <f>AK45+AO45+AS45+AW45</f>
        <v>789255</v>
      </c>
      <c r="AO1" s="3"/>
      <c r="AQ1" s="3">
        <f>AM32+AQ32+AU32</f>
        <v>12157398.940000001</v>
      </c>
      <c r="AS1" s="3"/>
      <c r="AV1" s="3"/>
      <c r="AW1" s="3"/>
      <c r="AX1" s="3"/>
      <c r="AZ1" s="3"/>
      <c r="BC1" s="3">
        <f>BD9-BD12</f>
        <v>36548935.509999998</v>
      </c>
      <c r="BD1" s="3"/>
      <c r="BE1" s="3"/>
      <c r="BG1" s="3"/>
      <c r="BQ1" s="3"/>
    </row>
    <row r="2" spans="1:95" ht="12.75" customHeight="1" x14ac:dyDescent="0.2">
      <c r="A2" s="210" t="s">
        <v>147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I2" s="3">
        <f>BI35+BI36+BI96+BI97</f>
        <v>2130477.11</v>
      </c>
      <c r="BQ2" s="3"/>
      <c r="BR2" s="3"/>
      <c r="BS2" s="3"/>
      <c r="BU2" s="3"/>
      <c r="BW2" s="3"/>
      <c r="BX2" s="3"/>
      <c r="BY2" s="3"/>
      <c r="BZ2" s="3"/>
      <c r="CA2" s="3"/>
      <c r="CC2" s="3">
        <f>E22+I22+M22+U22+Y22+AC22+AO22+AS22+AW22+BI22+BM22+BQ22</f>
        <v>391767.25</v>
      </c>
    </row>
    <row r="3" spans="1:95" ht="22.5" customHeight="1" thickBo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3"/>
      <c r="BQ3" s="3"/>
    </row>
    <row r="4" spans="1:95" ht="13.5" customHeight="1" x14ac:dyDescent="0.25">
      <c r="A4" s="225" t="s">
        <v>0</v>
      </c>
      <c r="B4" s="226" t="s">
        <v>1</v>
      </c>
      <c r="C4" s="227" t="s">
        <v>2</v>
      </c>
      <c r="D4" s="228"/>
      <c r="E4" s="228"/>
      <c r="F4" s="229"/>
      <c r="G4" s="222" t="s">
        <v>3</v>
      </c>
      <c r="H4" s="212"/>
      <c r="I4" s="212"/>
      <c r="J4" s="212"/>
      <c r="K4" s="224" t="s">
        <v>4</v>
      </c>
      <c r="L4" s="224"/>
      <c r="M4" s="224"/>
      <c r="N4" s="224"/>
      <c r="O4" s="224" t="s">
        <v>168</v>
      </c>
      <c r="P4" s="224"/>
      <c r="Q4" s="224"/>
      <c r="R4" s="224"/>
      <c r="S4" s="212" t="s">
        <v>5</v>
      </c>
      <c r="T4" s="212"/>
      <c r="U4" s="212"/>
      <c r="V4" s="212"/>
      <c r="W4" s="212" t="s">
        <v>6</v>
      </c>
      <c r="X4" s="212"/>
      <c r="Y4" s="212"/>
      <c r="Z4" s="212"/>
      <c r="AA4" s="212" t="s">
        <v>7</v>
      </c>
      <c r="AB4" s="212"/>
      <c r="AC4" s="212"/>
      <c r="AD4" s="212"/>
      <c r="AE4" s="212" t="s">
        <v>8</v>
      </c>
      <c r="AF4" s="212"/>
      <c r="AG4" s="212"/>
      <c r="AH4" s="212"/>
      <c r="AI4" s="223" t="s">
        <v>9</v>
      </c>
      <c r="AJ4" s="223"/>
      <c r="AK4" s="223"/>
      <c r="AL4" s="4"/>
      <c r="AM4" s="212" t="s">
        <v>10</v>
      </c>
      <c r="AN4" s="212"/>
      <c r="AO4" s="212"/>
      <c r="AP4" s="212"/>
      <c r="AQ4" s="212" t="s">
        <v>11</v>
      </c>
      <c r="AR4" s="212"/>
      <c r="AS4" s="212"/>
      <c r="AT4" s="212"/>
      <c r="AU4" s="212" t="s">
        <v>12</v>
      </c>
      <c r="AV4" s="212"/>
      <c r="AW4" s="212"/>
      <c r="AX4" s="212"/>
      <c r="AY4" s="212" t="s">
        <v>13</v>
      </c>
      <c r="AZ4" s="212"/>
      <c r="BA4" s="212"/>
      <c r="BB4" s="224"/>
      <c r="BC4" s="219" t="s">
        <v>14</v>
      </c>
      <c r="BD4" s="220"/>
      <c r="BE4" s="220"/>
      <c r="BF4" s="221"/>
      <c r="BG4" s="222" t="s">
        <v>15</v>
      </c>
      <c r="BH4" s="212"/>
      <c r="BI4" s="212"/>
      <c r="BJ4" s="212"/>
      <c r="BK4" s="212" t="s">
        <v>16</v>
      </c>
      <c r="BL4" s="212"/>
      <c r="BM4" s="212"/>
      <c r="BN4" s="212"/>
      <c r="BO4" s="212" t="s">
        <v>148</v>
      </c>
      <c r="BP4" s="212"/>
      <c r="BQ4" s="212"/>
      <c r="BR4" s="212"/>
      <c r="BS4" s="212" t="s">
        <v>17</v>
      </c>
      <c r="BT4" s="212"/>
      <c r="BU4" s="212"/>
      <c r="BV4" s="212"/>
      <c r="BW4" s="212" t="s">
        <v>149</v>
      </c>
      <c r="BX4" s="212"/>
      <c r="BY4" s="212"/>
      <c r="BZ4" s="212"/>
      <c r="CA4" s="212" t="s">
        <v>150</v>
      </c>
      <c r="CB4" s="212"/>
      <c r="CC4" s="212"/>
      <c r="CD4" s="212"/>
      <c r="CJ4" s="213" t="s">
        <v>17</v>
      </c>
      <c r="CK4" s="213"/>
      <c r="CL4" s="213"/>
      <c r="CM4" s="213"/>
      <c r="CN4" s="214" t="s">
        <v>18</v>
      </c>
      <c r="CO4" s="214"/>
      <c r="CP4" s="214"/>
      <c r="CQ4" s="214"/>
    </row>
    <row r="5" spans="1:95" ht="25.5" x14ac:dyDescent="0.2">
      <c r="A5" s="225"/>
      <c r="B5" s="226"/>
      <c r="C5" s="166" t="s">
        <v>19</v>
      </c>
      <c r="D5" s="6" t="s">
        <v>20</v>
      </c>
      <c r="E5" s="6" t="s">
        <v>21</v>
      </c>
      <c r="F5" s="167" t="s">
        <v>22</v>
      </c>
      <c r="G5" s="73" t="s">
        <v>19</v>
      </c>
      <c r="H5" s="6" t="s">
        <v>20</v>
      </c>
      <c r="I5" s="6" t="s">
        <v>21</v>
      </c>
      <c r="J5" s="7" t="s">
        <v>22</v>
      </c>
      <c r="K5" s="5" t="s">
        <v>19</v>
      </c>
      <c r="L5" s="6" t="s">
        <v>20</v>
      </c>
      <c r="M5" s="6" t="s">
        <v>21</v>
      </c>
      <c r="N5" s="7" t="s">
        <v>22</v>
      </c>
      <c r="O5" s="5" t="s">
        <v>19</v>
      </c>
      <c r="P5" s="6" t="s">
        <v>20</v>
      </c>
      <c r="Q5" s="6" t="s">
        <v>21</v>
      </c>
      <c r="R5" s="7" t="s">
        <v>22</v>
      </c>
      <c r="S5" s="5" t="s">
        <v>19</v>
      </c>
      <c r="T5" s="6" t="s">
        <v>20</v>
      </c>
      <c r="U5" s="6" t="s">
        <v>21</v>
      </c>
      <c r="V5" s="7" t="s">
        <v>22</v>
      </c>
      <c r="W5" s="5" t="s">
        <v>19</v>
      </c>
      <c r="X5" s="6" t="s">
        <v>20</v>
      </c>
      <c r="Y5" s="7" t="s">
        <v>21</v>
      </c>
      <c r="Z5" s="6" t="s">
        <v>22</v>
      </c>
      <c r="AA5" s="73" t="s">
        <v>19</v>
      </c>
      <c r="AB5" s="6" t="s">
        <v>20</v>
      </c>
      <c r="AC5" s="6" t="s">
        <v>21</v>
      </c>
      <c r="AD5" s="7" t="s">
        <v>22</v>
      </c>
      <c r="AE5" s="5" t="s">
        <v>19</v>
      </c>
      <c r="AF5" s="6" t="s">
        <v>20</v>
      </c>
      <c r="AG5" s="6" t="s">
        <v>21</v>
      </c>
      <c r="AH5" s="7" t="s">
        <v>22</v>
      </c>
      <c r="AI5" s="5" t="s">
        <v>19</v>
      </c>
      <c r="AJ5" s="6" t="s">
        <v>20</v>
      </c>
      <c r="AK5" s="6" t="s">
        <v>21</v>
      </c>
      <c r="AL5" s="7" t="s">
        <v>22</v>
      </c>
      <c r="AM5" s="5" t="s">
        <v>19</v>
      </c>
      <c r="AN5" s="6" t="s">
        <v>20</v>
      </c>
      <c r="AO5" s="74" t="s">
        <v>21</v>
      </c>
      <c r="AP5" s="75" t="s">
        <v>22</v>
      </c>
      <c r="AQ5" s="5" t="s">
        <v>19</v>
      </c>
      <c r="AR5" s="6" t="s">
        <v>20</v>
      </c>
      <c r="AS5" s="6" t="s">
        <v>21</v>
      </c>
      <c r="AT5" s="75" t="s">
        <v>22</v>
      </c>
      <c r="AU5" s="5" t="s">
        <v>19</v>
      </c>
      <c r="AV5" s="6" t="s">
        <v>20</v>
      </c>
      <c r="AW5" s="6" t="s">
        <v>21</v>
      </c>
      <c r="AX5" s="75" t="s">
        <v>22</v>
      </c>
      <c r="AY5" s="5" t="s">
        <v>19</v>
      </c>
      <c r="AZ5" s="6" t="s">
        <v>20</v>
      </c>
      <c r="BA5" s="6" t="s">
        <v>21</v>
      </c>
      <c r="BB5" s="7" t="s">
        <v>22</v>
      </c>
      <c r="BC5" s="187" t="s">
        <v>19</v>
      </c>
      <c r="BD5" s="6" t="s">
        <v>20</v>
      </c>
      <c r="BE5" s="6" t="s">
        <v>21</v>
      </c>
      <c r="BF5" s="167" t="s">
        <v>22</v>
      </c>
      <c r="BG5" s="73" t="s">
        <v>19</v>
      </c>
      <c r="BH5" s="6" t="s">
        <v>20</v>
      </c>
      <c r="BI5" s="6" t="s">
        <v>21</v>
      </c>
      <c r="BJ5" s="75" t="s">
        <v>22</v>
      </c>
      <c r="BK5" s="5" t="s">
        <v>19</v>
      </c>
      <c r="BL5" s="6" t="s">
        <v>20</v>
      </c>
      <c r="BM5" s="6" t="s">
        <v>21</v>
      </c>
      <c r="BN5" s="75" t="s">
        <v>22</v>
      </c>
      <c r="BO5" s="5" t="s">
        <v>19</v>
      </c>
      <c r="BP5" s="6" t="s">
        <v>20</v>
      </c>
      <c r="BQ5" s="6" t="s">
        <v>21</v>
      </c>
      <c r="BR5" s="75" t="s">
        <v>22</v>
      </c>
      <c r="BS5" s="5" t="s">
        <v>19</v>
      </c>
      <c r="BT5" s="6" t="s">
        <v>20</v>
      </c>
      <c r="BU5" s="6" t="s">
        <v>21</v>
      </c>
      <c r="BV5" s="75" t="s">
        <v>22</v>
      </c>
      <c r="BW5" s="5" t="s">
        <v>19</v>
      </c>
      <c r="BX5" s="6" t="s">
        <v>20</v>
      </c>
      <c r="BY5" s="6" t="s">
        <v>21</v>
      </c>
      <c r="BZ5" s="75" t="s">
        <v>22</v>
      </c>
      <c r="CA5" s="5" t="s">
        <v>19</v>
      </c>
      <c r="CB5" s="6" t="s">
        <v>20</v>
      </c>
      <c r="CC5" s="6" t="s">
        <v>21</v>
      </c>
      <c r="CD5" s="75" t="s">
        <v>22</v>
      </c>
      <c r="CF5" s="3"/>
      <c r="CJ5" s="8" t="s">
        <v>19</v>
      </c>
      <c r="CK5" s="8" t="s">
        <v>20</v>
      </c>
      <c r="CL5" s="8" t="s">
        <v>21</v>
      </c>
      <c r="CM5" s="8" t="s">
        <v>22</v>
      </c>
      <c r="CN5" s="8" t="s">
        <v>19</v>
      </c>
      <c r="CO5" s="8" t="s">
        <v>20</v>
      </c>
      <c r="CP5" s="8" t="s">
        <v>21</v>
      </c>
      <c r="CQ5" s="8" t="s">
        <v>22</v>
      </c>
    </row>
    <row r="6" spans="1:95" ht="16.5" x14ac:dyDescent="0.3">
      <c r="A6" s="9"/>
      <c r="B6" s="10" t="s">
        <v>23</v>
      </c>
      <c r="C6" s="168"/>
      <c r="D6" s="12"/>
      <c r="E6" s="76">
        <f>1044518.64+21108.14</f>
        <v>1065626.78</v>
      </c>
      <c r="F6" s="169"/>
      <c r="G6" s="80"/>
      <c r="H6" s="12"/>
      <c r="I6" s="25">
        <f>E133</f>
        <v>1088576.29</v>
      </c>
      <c r="J6" s="77"/>
      <c r="K6" s="11"/>
      <c r="L6" s="12"/>
      <c r="M6" s="76">
        <f>I133</f>
        <v>2010401.53</v>
      </c>
      <c r="N6" s="77"/>
      <c r="O6" s="11"/>
      <c r="P6" s="12"/>
      <c r="Q6" s="12">
        <f>E6</f>
        <v>1065626.78</v>
      </c>
      <c r="R6" s="13"/>
      <c r="S6" s="11"/>
      <c r="T6" s="12"/>
      <c r="U6" s="78">
        <f>M133</f>
        <v>1198591.17</v>
      </c>
      <c r="V6" s="79"/>
      <c r="W6" s="11"/>
      <c r="X6" s="12"/>
      <c r="Y6" s="77">
        <f>U133</f>
        <v>2909022.53</v>
      </c>
      <c r="Z6" s="14"/>
      <c r="AA6" s="80"/>
      <c r="AB6" s="12"/>
      <c r="AC6" s="76">
        <f>Y133</f>
        <v>3022403.44</v>
      </c>
      <c r="AD6" s="13"/>
      <c r="AE6" s="11"/>
      <c r="AF6" s="12"/>
      <c r="AG6" s="12">
        <f>U6</f>
        <v>1198591.17</v>
      </c>
      <c r="AH6" s="13"/>
      <c r="AI6" s="11"/>
      <c r="AJ6" s="12"/>
      <c r="AK6" s="12">
        <f>E6</f>
        <v>1065626.78</v>
      </c>
      <c r="AL6" s="13"/>
      <c r="AM6" s="11"/>
      <c r="AN6" s="12"/>
      <c r="AO6" s="76">
        <f>AC133</f>
        <v>2786777.82</v>
      </c>
      <c r="AP6" s="81"/>
      <c r="AQ6" s="11"/>
      <c r="AR6" s="12"/>
      <c r="AS6" s="76">
        <f>AO133</f>
        <v>3131315.78</v>
      </c>
      <c r="AT6" s="81"/>
      <c r="AU6" s="11"/>
      <c r="AV6" s="12"/>
      <c r="AW6" s="76">
        <v>1955298.22</v>
      </c>
      <c r="AX6" s="81"/>
      <c r="AY6" s="11"/>
      <c r="AZ6" s="12"/>
      <c r="BA6" s="207">
        <v>2786777.82</v>
      </c>
      <c r="BB6" s="13"/>
      <c r="BC6" s="188"/>
      <c r="BD6" s="12"/>
      <c r="BE6" s="12">
        <f>E6</f>
        <v>1065626.78</v>
      </c>
      <c r="BF6" s="189"/>
      <c r="BG6" s="80"/>
      <c r="BH6" s="12"/>
      <c r="BI6" s="12">
        <f>AW132</f>
        <v>2640697.4099999997</v>
      </c>
      <c r="BJ6" s="81"/>
      <c r="BK6" s="11"/>
      <c r="BL6" s="12"/>
      <c r="BM6" s="12">
        <f>BI132</f>
        <v>14351630.68</v>
      </c>
      <c r="BN6" s="81"/>
      <c r="BO6" s="11"/>
      <c r="BP6" s="12"/>
      <c r="BQ6" s="12">
        <f>BM132</f>
        <v>14155876.199999999</v>
      </c>
      <c r="BR6" s="81"/>
      <c r="BS6" s="11"/>
      <c r="BT6" s="12"/>
      <c r="BU6" s="12">
        <v>2640697.4099999997</v>
      </c>
      <c r="BV6" s="81"/>
      <c r="BW6" s="11"/>
      <c r="BX6" s="12"/>
      <c r="BY6" s="12">
        <f>AO6</f>
        <v>2786777.82</v>
      </c>
      <c r="BZ6" s="81"/>
      <c r="CA6" s="11"/>
      <c r="CB6" s="12"/>
      <c r="CC6" s="76">
        <f>E6</f>
        <v>1065626.78</v>
      </c>
      <c r="CD6" s="81"/>
      <c r="CJ6" s="82"/>
      <c r="CK6" s="82"/>
      <c r="CL6" s="82"/>
      <c r="CM6" s="82"/>
      <c r="CN6" s="82"/>
      <c r="CO6" s="82"/>
      <c r="CP6" s="82"/>
      <c r="CQ6" s="82"/>
    </row>
    <row r="7" spans="1:95" ht="16.5" outlineLevel="1" x14ac:dyDescent="0.3">
      <c r="A7" s="15"/>
      <c r="B7" s="16" t="s">
        <v>24</v>
      </c>
      <c r="C7" s="168"/>
      <c r="D7" s="18"/>
      <c r="E7" s="18"/>
      <c r="F7" s="170"/>
      <c r="G7" s="83"/>
      <c r="H7" s="18"/>
      <c r="I7" s="18"/>
      <c r="J7" s="19"/>
      <c r="K7" s="17"/>
      <c r="L7" s="18"/>
      <c r="M7" s="18"/>
      <c r="N7" s="19"/>
      <c r="O7" s="17"/>
      <c r="P7" s="18"/>
      <c r="Q7" s="18"/>
      <c r="R7" s="19">
        <f>F7+J7+N7</f>
        <v>0</v>
      </c>
      <c r="S7" s="17"/>
      <c r="T7" s="18"/>
      <c r="U7" s="18"/>
      <c r="V7" s="19">
        <f>T7-S7</f>
        <v>0</v>
      </c>
      <c r="W7" s="17"/>
      <c r="X7" s="18"/>
      <c r="Y7" s="19"/>
      <c r="Z7" s="18">
        <f>X7-W7</f>
        <v>0</v>
      </c>
      <c r="AA7" s="83"/>
      <c r="AB7" s="18"/>
      <c r="AC7" s="18"/>
      <c r="AD7" s="19">
        <f>AB7-AA7</f>
        <v>0</v>
      </c>
      <c r="AE7" s="17">
        <f t="shared" ref="AE7:AG8" si="0">S7+W7+AA7</f>
        <v>0</v>
      </c>
      <c r="AF7" s="18">
        <f t="shared" si="0"/>
        <v>0</v>
      </c>
      <c r="AG7" s="18">
        <f t="shared" si="0"/>
        <v>0</v>
      </c>
      <c r="AH7" s="19">
        <f>AF7-AE7</f>
        <v>0</v>
      </c>
      <c r="AI7" s="17">
        <f t="shared" ref="AI7:AK8" si="1">O7+AE7</f>
        <v>0</v>
      </c>
      <c r="AJ7" s="18">
        <f t="shared" si="1"/>
        <v>0</v>
      </c>
      <c r="AK7" s="18">
        <f t="shared" si="1"/>
        <v>0</v>
      </c>
      <c r="AL7" s="19">
        <f>AJ7-AI7</f>
        <v>0</v>
      </c>
      <c r="AM7" s="17"/>
      <c r="AN7" s="18"/>
      <c r="AO7" s="18"/>
      <c r="AP7" s="20">
        <f>AN7-AM7</f>
        <v>0</v>
      </c>
      <c r="AQ7" s="17"/>
      <c r="AR7" s="18"/>
      <c r="AS7" s="18"/>
      <c r="AT7" s="20">
        <f>AR7-AQ7</f>
        <v>0</v>
      </c>
      <c r="AU7" s="17"/>
      <c r="AV7" s="18"/>
      <c r="AW7" s="18"/>
      <c r="AX7" s="20">
        <f>AV7-AU7</f>
        <v>0</v>
      </c>
      <c r="AY7" s="17">
        <f t="shared" ref="AY7:BA8" si="2">AM7+AQ7+AU7</f>
        <v>0</v>
      </c>
      <c r="AZ7" s="18">
        <f t="shared" si="2"/>
        <v>0</v>
      </c>
      <c r="BA7" s="18">
        <f t="shared" si="2"/>
        <v>0</v>
      </c>
      <c r="BB7" s="19">
        <f>AZ7-AY7</f>
        <v>0</v>
      </c>
      <c r="BC7" s="190">
        <f t="shared" ref="BC7:BE8" si="3">(AI7+AY7)</f>
        <v>0</v>
      </c>
      <c r="BD7" s="84">
        <f t="shared" si="3"/>
        <v>0</v>
      </c>
      <c r="BE7" s="84">
        <f t="shared" si="3"/>
        <v>0</v>
      </c>
      <c r="BF7" s="170">
        <f>BD7-BC7</f>
        <v>0</v>
      </c>
      <c r="BG7" s="83"/>
      <c r="BH7" s="18"/>
      <c r="BI7" s="18"/>
      <c r="BJ7" s="20">
        <f>BH7-BG7</f>
        <v>0</v>
      </c>
      <c r="BK7" s="17"/>
      <c r="BL7" s="18"/>
      <c r="BM7" s="18"/>
      <c r="BN7" s="20">
        <f>BL7-BK7</f>
        <v>0</v>
      </c>
      <c r="BO7" s="17"/>
      <c r="BP7" s="18"/>
      <c r="BQ7" s="18"/>
      <c r="BR7" s="20">
        <f>BP7-BO7</f>
        <v>0</v>
      </c>
      <c r="BS7" s="17">
        <f t="shared" ref="BS7:BU8" si="4">BG7+BK7+BO7</f>
        <v>0</v>
      </c>
      <c r="BT7" s="18">
        <f t="shared" si="4"/>
        <v>0</v>
      </c>
      <c r="BU7" s="18">
        <f t="shared" si="4"/>
        <v>0</v>
      </c>
      <c r="BV7" s="20">
        <f>BT7-BS7</f>
        <v>0</v>
      </c>
      <c r="BW7" s="17">
        <f t="shared" ref="BW7:BY8" si="5">BS7+AY7</f>
        <v>0</v>
      </c>
      <c r="BX7" s="18">
        <f t="shared" si="5"/>
        <v>0</v>
      </c>
      <c r="BY7" s="18">
        <f t="shared" si="5"/>
        <v>0</v>
      </c>
      <c r="BZ7" s="20">
        <f>BX7-BW7</f>
        <v>0</v>
      </c>
      <c r="CA7" s="17">
        <f t="shared" ref="CA7:CC8" si="6">BW7+AI7</f>
        <v>0</v>
      </c>
      <c r="CB7" s="18">
        <f t="shared" si="6"/>
        <v>0</v>
      </c>
      <c r="CC7" s="18">
        <f t="shared" si="6"/>
        <v>0</v>
      </c>
      <c r="CD7" s="20">
        <f>CB7-CA7</f>
        <v>0</v>
      </c>
      <c r="CF7" s="3"/>
      <c r="CJ7" s="82"/>
      <c r="CK7" s="82"/>
      <c r="CL7" s="82"/>
      <c r="CM7" s="82"/>
      <c r="CN7" s="82"/>
      <c r="CO7" s="82"/>
      <c r="CP7" s="82"/>
      <c r="CQ7" s="82"/>
    </row>
    <row r="8" spans="1:95" ht="16.5" outlineLevel="1" x14ac:dyDescent="0.3">
      <c r="A8" s="21"/>
      <c r="B8" s="22" t="s">
        <v>25</v>
      </c>
      <c r="C8" s="168"/>
      <c r="D8" s="18"/>
      <c r="E8" s="18"/>
      <c r="F8" s="170"/>
      <c r="G8" s="83"/>
      <c r="H8" s="18"/>
      <c r="I8" s="18"/>
      <c r="J8" s="19"/>
      <c r="K8" s="17"/>
      <c r="L8" s="18"/>
      <c r="M8" s="18"/>
      <c r="N8" s="19"/>
      <c r="O8" s="17"/>
      <c r="P8" s="18"/>
      <c r="Q8" s="18"/>
      <c r="R8" s="19">
        <f ca="1">+Q1+R8</f>
        <v>0</v>
      </c>
      <c r="S8" s="17"/>
      <c r="T8" s="18"/>
      <c r="U8" s="18"/>
      <c r="V8" s="19">
        <f>T8-S8</f>
        <v>0</v>
      </c>
      <c r="W8" s="17"/>
      <c r="X8" s="18"/>
      <c r="Y8" s="19"/>
      <c r="Z8" s="18">
        <f>X8-W8</f>
        <v>0</v>
      </c>
      <c r="AA8" s="83"/>
      <c r="AB8" s="18"/>
      <c r="AC8" s="18"/>
      <c r="AD8" s="19">
        <f>AB8-AA8</f>
        <v>0</v>
      </c>
      <c r="AE8" s="17">
        <f t="shared" si="0"/>
        <v>0</v>
      </c>
      <c r="AF8" s="18">
        <f t="shared" si="0"/>
        <v>0</v>
      </c>
      <c r="AG8" s="18">
        <f t="shared" si="0"/>
        <v>0</v>
      </c>
      <c r="AH8" s="19">
        <f>AF8-AE8</f>
        <v>0</v>
      </c>
      <c r="AI8" s="17">
        <f t="shared" si="1"/>
        <v>0</v>
      </c>
      <c r="AJ8" s="18">
        <f t="shared" si="1"/>
        <v>0</v>
      </c>
      <c r="AK8" s="18">
        <f t="shared" si="1"/>
        <v>0</v>
      </c>
      <c r="AL8" s="19">
        <f>AJ8-AI8</f>
        <v>0</v>
      </c>
      <c r="AM8" s="17"/>
      <c r="AN8" s="18"/>
      <c r="AO8" s="18"/>
      <c r="AP8" s="20">
        <f>AN8-AM8</f>
        <v>0</v>
      </c>
      <c r="AQ8" s="17"/>
      <c r="AR8" s="18"/>
      <c r="AS8" s="18"/>
      <c r="AT8" s="20">
        <f>AR8-AQ8</f>
        <v>0</v>
      </c>
      <c r="AU8" s="17"/>
      <c r="AV8" s="18"/>
      <c r="AW8" s="18"/>
      <c r="AX8" s="20">
        <f>AV8-AU8</f>
        <v>0</v>
      </c>
      <c r="AY8" s="17">
        <f t="shared" si="2"/>
        <v>0</v>
      </c>
      <c r="AZ8" s="18">
        <f t="shared" si="2"/>
        <v>0</v>
      </c>
      <c r="BA8" s="18">
        <f t="shared" si="2"/>
        <v>0</v>
      </c>
      <c r="BB8" s="19">
        <f>AZ8-AY8</f>
        <v>0</v>
      </c>
      <c r="BC8" s="190">
        <f t="shared" si="3"/>
        <v>0</v>
      </c>
      <c r="BD8" s="84">
        <f t="shared" si="3"/>
        <v>0</v>
      </c>
      <c r="BE8" s="84">
        <f t="shared" si="3"/>
        <v>0</v>
      </c>
      <c r="BF8" s="170">
        <f>BD8-BC8</f>
        <v>0</v>
      </c>
      <c r="BG8" s="83"/>
      <c r="BH8" s="18"/>
      <c r="BI8" s="18"/>
      <c r="BJ8" s="20">
        <f>BH8-BG8</f>
        <v>0</v>
      </c>
      <c r="BK8" s="17"/>
      <c r="BL8" s="18"/>
      <c r="BM8" s="18"/>
      <c r="BN8" s="20">
        <f>BL8-BK8</f>
        <v>0</v>
      </c>
      <c r="BO8" s="17"/>
      <c r="BP8" s="18"/>
      <c r="BQ8" s="18"/>
      <c r="BR8" s="20">
        <f>BP8-BO8</f>
        <v>0</v>
      </c>
      <c r="BS8" s="17">
        <f t="shared" si="4"/>
        <v>0</v>
      </c>
      <c r="BT8" s="18">
        <f t="shared" si="4"/>
        <v>0</v>
      </c>
      <c r="BU8" s="18">
        <f t="shared" si="4"/>
        <v>0</v>
      </c>
      <c r="BV8" s="20">
        <f>BT8-BS8</f>
        <v>0</v>
      </c>
      <c r="BW8" s="17">
        <f t="shared" si="5"/>
        <v>0</v>
      </c>
      <c r="BX8" s="18">
        <f t="shared" si="5"/>
        <v>0</v>
      </c>
      <c r="BY8" s="18">
        <f t="shared" si="5"/>
        <v>0</v>
      </c>
      <c r="BZ8" s="20">
        <f>BX8-BW8</f>
        <v>0</v>
      </c>
      <c r="CA8" s="17">
        <f t="shared" si="6"/>
        <v>0</v>
      </c>
      <c r="CB8" s="18">
        <f t="shared" si="6"/>
        <v>0</v>
      </c>
      <c r="CC8" s="18">
        <f t="shared" si="6"/>
        <v>0</v>
      </c>
      <c r="CD8" s="20">
        <f>CB8-CA8</f>
        <v>0</v>
      </c>
      <c r="CF8" s="3"/>
      <c r="CJ8" s="82"/>
      <c r="CK8" s="82"/>
      <c r="CL8" s="82"/>
      <c r="CM8" s="82"/>
      <c r="CN8" s="82"/>
      <c r="CO8" s="82"/>
      <c r="CP8" s="82"/>
      <c r="CQ8" s="82"/>
    </row>
    <row r="9" spans="1:95" ht="18" customHeight="1" x14ac:dyDescent="0.3">
      <c r="A9" s="215" t="s">
        <v>26</v>
      </c>
      <c r="B9" s="216"/>
      <c r="C9" s="171">
        <f t="shared" ref="C9:D9" si="7">C10+C11+C21+C22+C23+C27+C12+C13+C14+C15</f>
        <v>3907305.2500000005</v>
      </c>
      <c r="D9" s="171">
        <f t="shared" si="7"/>
        <v>3923466.1399999997</v>
      </c>
      <c r="E9" s="171">
        <f>E10+E11+E21+E22+E23+E27+E12+E13+E14+E15</f>
        <v>3393783.4699999997</v>
      </c>
      <c r="F9" s="171">
        <f>F10+F11+F21+F22+F23+F27+F16</f>
        <v>16160.889999999774</v>
      </c>
      <c r="G9" s="171">
        <f>G10+G11+G21+G22+G23+G27+G13+G14+G15</f>
        <v>4036141.1600000006</v>
      </c>
      <c r="H9" s="171">
        <f>H10+H11+H21+H22+H23+H27+H13+H14+H15+H12</f>
        <v>4096675.52</v>
      </c>
      <c r="I9" s="171">
        <f>I10+I11+I21+I22+I23+I27+I13+I14+I15+I12</f>
        <v>3860160.51</v>
      </c>
      <c r="J9" s="171">
        <f>J10+J11+J21+J22+J23+J27+J16</f>
        <v>69207.450000000026</v>
      </c>
      <c r="K9" s="171">
        <f>K10+K11+K21+K22+K23+K27+K13+K14+K15</f>
        <v>4036141.1600000006</v>
      </c>
      <c r="L9" s="171">
        <f>L10+L11+L21+L22+L23+L27+L13+L14+L15</f>
        <v>4111989.2600000002</v>
      </c>
      <c r="M9" s="171">
        <f>M10+M11+M21+M22+M23+M27+M13+M14+M15+M12</f>
        <v>4111188.4900000007</v>
      </c>
      <c r="N9" s="171">
        <f>N10+N11+N21+N22+N23+N27+N16</f>
        <v>84521.400000000009</v>
      </c>
      <c r="O9" s="171">
        <f>O10+O11+O21+O22+O23+O27+O12+O13+O14+O15</f>
        <v>11979587.57</v>
      </c>
      <c r="P9" s="171">
        <f>P10+P11+P21+P22+P23+P27+P12+P13+P14+P15</f>
        <v>12132130.919999998</v>
      </c>
      <c r="Q9" s="171">
        <f>Q10+Q11+Q21+Q22+Q23+Q27+Q12+Q13+Q14+Q15</f>
        <v>11365132.470000001</v>
      </c>
      <c r="R9" s="171">
        <f>R10+R11+R21+R22+R23+R27+R16</f>
        <v>169889.73999999906</v>
      </c>
      <c r="S9" s="171">
        <f>S10+S11+S13+S14+S15+S21+S22+S23+S27+S12</f>
        <v>4036141.1600000006</v>
      </c>
      <c r="T9" s="171">
        <f t="shared" ref="T9" si="8">T10+T11+T13+T14+T15+T21+T22+T23+T27+T12</f>
        <v>4067887.1700000004</v>
      </c>
      <c r="U9" s="171">
        <f>U10+U11+U13+U14+U15+U21+U22+U23+U27+U12</f>
        <v>3906552.46</v>
      </c>
      <c r="V9" s="171">
        <f>V10+V11+V21+V22+V23+V27+V16</f>
        <v>40418.860000000219</v>
      </c>
      <c r="W9" s="171">
        <f>W10+W11+W13+W14+W15+W21+W22+W23+W27</f>
        <v>4036141.1600000006</v>
      </c>
      <c r="X9" s="171">
        <f>X10+X11+X13+X14+X15+X21+X22+X23+X27</f>
        <v>4042415.5400000005</v>
      </c>
      <c r="Y9" s="171">
        <f>Y10+Y11+Y13+Y14+Y15+Y21+Y22+Y23+Y27+Y12</f>
        <v>3789654.33</v>
      </c>
      <c r="Z9" s="171">
        <f>Z10+Z11+Z21+Z22+Z23+Z27+Z16</f>
        <v>14946.399999999991</v>
      </c>
      <c r="AA9" s="171">
        <f>AA10+AA11+AA13+AA14+AA15+AA21+AA22+AA23+AA27</f>
        <v>4036141.1600000006</v>
      </c>
      <c r="AB9" s="171">
        <f>AB10+AB11+AB13+AB14+AB15+AB21+AB22+AB23+AB27+AB12</f>
        <v>4076260.0999999992</v>
      </c>
      <c r="AC9" s="171">
        <f>AC10+AC11+AC13+AC14+AC15+AC21+AC22+AC23+AC27+AC12</f>
        <v>4077379.8600000003</v>
      </c>
      <c r="AD9" s="171">
        <f>AD10+AD11+AD21+AD22+AD23+AD27+AD16</f>
        <v>48791.129999999743</v>
      </c>
      <c r="AE9" s="171">
        <f t="shared" ref="AE9:AF9" si="9">AE10+AE11+AE21+AE22+AE23+AE27+AE12+AE13+AE14+AE15</f>
        <v>12108423.48</v>
      </c>
      <c r="AF9" s="171">
        <f t="shared" si="9"/>
        <v>12186562.810000001</v>
      </c>
      <c r="AG9" s="171">
        <f>AG10+AG11+AG21+AG22+AG23+AG27+AG12+AG13+AG14+AG15</f>
        <v>11773586.65</v>
      </c>
      <c r="AH9" s="171">
        <f>AH10+AH11+AH21+AH22+AH23+AH27+AH16</f>
        <v>104156.38999999945</v>
      </c>
      <c r="AI9" s="171">
        <f t="shared" ref="AI9:AJ9" si="10">AI10+AI11+AI21+AI22+AI23+AI27+AI12+AI13+AI14+AI15</f>
        <v>24088011.050000004</v>
      </c>
      <c r="AJ9" s="171">
        <f t="shared" si="10"/>
        <v>24318693.73</v>
      </c>
      <c r="AK9" s="171">
        <f>AK10+AK11+AK21+AK22+AK23+AK27+AK12+AK13+AK14+AK15</f>
        <v>23138719.119999994</v>
      </c>
      <c r="AL9" s="171">
        <f>AL10+AL11+AL21+AL22+AL23+AL27+AL16</f>
        <v>274046.12999999768</v>
      </c>
      <c r="AM9" s="171">
        <f>AM11+AM12+AM13+AM14+AM15+AM10+AM21+AM22+AM23+AM27</f>
        <v>4052466.1500000004</v>
      </c>
      <c r="AN9" s="171">
        <f>AN10+AN11+AN12+AN13+AN14+AN15+AN20</f>
        <v>3717365.1100000003</v>
      </c>
      <c r="AO9" s="171">
        <f>AO10+AO11+AO12+AO13+AO14+AO15+AO20+AO21+AO22+AO23+AO27</f>
        <v>4209627.9000000004</v>
      </c>
      <c r="AP9" s="171">
        <f>AP10+AP11+AP21+AP22+AP23+AP27+AP16</f>
        <v>60877.459999999839</v>
      </c>
      <c r="AQ9" s="171">
        <f>AQ11+AQ12+AQ13+AQ14+AQ15+AQ10+AQ21+AQ22+AQ23+AQ27</f>
        <v>4052466.1500000004</v>
      </c>
      <c r="AR9" s="171">
        <f>AR10+AR11+AR12+AR13+AR14+AR15+AR20+AR21+AR22+AR23+AR27</f>
        <v>4049394.0800000005</v>
      </c>
      <c r="AS9" s="171">
        <f>AS10+AS11+AS12+AS13+AS14+AS15+AS20+AS21+AS22+AS23+AS27</f>
        <v>4079764.41</v>
      </c>
      <c r="AT9" s="171">
        <f>AT10+AT11+AT21+AT22+AT23+AT27+AT16</f>
        <v>5739.2099999999591</v>
      </c>
      <c r="AU9" s="171">
        <f>AU11+AU12+AU13+AU14+AU15+AU10+AU21+AU22+AU23+AU27</f>
        <v>4052466.1500000004</v>
      </c>
      <c r="AV9" s="171">
        <f>AV10+AV11+AV12+AV13+AV14+AV15+AV21+AV22+AV23+AV27</f>
        <v>4076315.5500000003</v>
      </c>
      <c r="AW9" s="171">
        <f>AW10+AW11+AW12+AW13+AW14+AW15+AW21+AW22+AW23+AW27</f>
        <v>4121128.61</v>
      </c>
      <c r="AX9" s="171">
        <f>AX10+AX11+AX21+AX22+AX23+AX27+AX16</f>
        <v>32659.189999999799</v>
      </c>
      <c r="AY9" s="171">
        <f>AY11+AY12+AY13+AY14+AY15+AY10+AY21+AY22+AY23+AY27</f>
        <v>12157398.450000001</v>
      </c>
      <c r="AZ9" s="171">
        <f>AZ11+AZ12+AZ13+AZ14+AZ15+AZ10+AZ21+AZ22+AZ23+AZ27</f>
        <v>12230241.779999999</v>
      </c>
      <c r="BA9" s="171">
        <f>BA11+BA12+BA13+BA14+BA15+BA10+BA21+BA22+BA23+BA27</f>
        <v>12410520.92</v>
      </c>
      <c r="BB9" s="171">
        <f>BB10+BB11+BB21+BB22+BB23+BB27+BB16</f>
        <v>99275.859999999608</v>
      </c>
      <c r="BC9" s="171">
        <f>BC10+BC21+BC22+BC23+BC27</f>
        <v>36245409.5</v>
      </c>
      <c r="BD9" s="171">
        <f>BD10+BD11+BD12+BD13+BD14+BD15+BD21+BD22+BD23+BD27</f>
        <v>36548935.509999998</v>
      </c>
      <c r="BE9" s="171">
        <f>BE10+BE11+BE12+BE13+BE14+BE15+BE21+BE22+BE23+BE27</f>
        <v>35549240.039999999</v>
      </c>
      <c r="BF9" s="171">
        <f>BF10+BF11+BF21+BF22+BF23+BF27+BF16</f>
        <v>373321.98999999795</v>
      </c>
      <c r="BG9" s="171">
        <f>BG11+BG12+BG13+BG14+BG15+BG10+BG21+BG22+BG23+BG27</f>
        <v>4052466.1500000004</v>
      </c>
      <c r="BH9" s="171">
        <f>BH10+BH21+BH22+BH23+BH27+BH11+BH12+BH13+BH14+BH15</f>
        <v>4087329.8400000003</v>
      </c>
      <c r="BI9" s="171">
        <f>BI10+BI21+BI22+BI23+BI27+BI11+BI12+BI13+BI14+BI15</f>
        <v>4016603.2000000007</v>
      </c>
      <c r="BJ9" s="171">
        <f t="shared" ref="BJ9:CD9" si="11">BJ10+BJ11+BJ21+BJ22+BJ23+BJ27+BJ16</f>
        <v>43674.009999999718</v>
      </c>
      <c r="BK9" s="171">
        <f>BK11+BK12+BK13+BK14+BK15+BK10+BK21+BK22+BK23+BK27</f>
        <v>4052466.1500000004</v>
      </c>
      <c r="BL9" s="171">
        <f>BL10+BL11+BL12+BL13+BL14+BL15+BL21+BL22+BL23+BL27</f>
        <v>4040504</v>
      </c>
      <c r="BM9" s="171">
        <f>BM10+BM11+BM12+BM13+BM14+BM15+BM21+BM22+BM23+BM27</f>
        <v>3841780.07</v>
      </c>
      <c r="BN9" s="171">
        <f t="shared" si="11"/>
        <v>-3151.1700000000747</v>
      </c>
      <c r="BO9" s="171">
        <f>BO11+BO12+BO13+BO14+BO15+BO10+BO21+BO22+BO23+BO27</f>
        <v>4052466.1500000004</v>
      </c>
      <c r="BP9" s="171">
        <f>BP10+BP11+BP12+BP13+BP14+BP15+BP21+BP22+BP23+BP27</f>
        <v>4037933.3299999991</v>
      </c>
      <c r="BQ9" s="171">
        <f>BQ10+BQ11+BQ12+BQ13+BQ14+BQ15+BQ21+BQ22+BQ23+BQ27</f>
        <v>4436156.8600000003</v>
      </c>
      <c r="BR9" s="171">
        <f t="shared" si="11"/>
        <v>-5721.3300000001946</v>
      </c>
      <c r="BS9" s="171">
        <f t="shared" ref="BS9:BT9" si="12">BS10+BS11+BS12+BS13+BS14+BS15+BS21+BS22+BS23+BS27</f>
        <v>12157398.450000001</v>
      </c>
      <c r="BT9" s="171">
        <f t="shared" si="12"/>
        <v>12165767.17</v>
      </c>
      <c r="BU9" s="171">
        <f>BU10+BU11+BU12+BU13+BU14+BU15+BU21+BU22+BU23+BU27</f>
        <v>12294540.129999999</v>
      </c>
      <c r="BV9" s="171">
        <f t="shared" si="11"/>
        <v>34801.509999997928</v>
      </c>
      <c r="BW9" s="171">
        <f t="shared" ref="BW9:BX9" si="13">BW10+BW11+BW12+BW13+BW14+BW15+BW21+BW22+BW23+BW27</f>
        <v>24314796.900000002</v>
      </c>
      <c r="BX9" s="171">
        <f t="shared" si="13"/>
        <v>24396008.949999999</v>
      </c>
      <c r="BY9" s="171">
        <f>BY10+BY11+BY12+BY13+BY14+BY15+BY21+BY22+BY23+BY27</f>
        <v>24705061.049999997</v>
      </c>
      <c r="BZ9" s="171">
        <f t="shared" si="11"/>
        <v>134077.36999999723</v>
      </c>
      <c r="CA9" s="171">
        <f t="shared" ref="CA9:CB9" si="14">CA10+CA11+CA12+CA13+CA14+CA15+CA21+CA22+CA23+CA27</f>
        <v>48402807.950000003</v>
      </c>
      <c r="CB9" s="171">
        <f t="shared" si="14"/>
        <v>48714702.679999992</v>
      </c>
      <c r="CC9" s="171">
        <f>CC10+CC11+CC12+CC13+CC14+CC15+CC21+CC22+CC23+CC27</f>
        <v>47843780.169999987</v>
      </c>
      <c r="CD9" s="171">
        <f t="shared" si="11"/>
        <v>408123.49999999459</v>
      </c>
      <c r="CF9" s="3"/>
      <c r="CJ9" s="87">
        <f>CJ10+CJ21+CJ22+CJ23+CJ27</f>
        <v>12157398.450000001</v>
      </c>
      <c r="CK9" s="87">
        <f>CK10+CK21+CK22+CK23+CK27</f>
        <v>12165767.169999996</v>
      </c>
      <c r="CL9" s="87">
        <f>CL10+CL21+CL22+CL23+CL27</f>
        <v>12114998.539999999</v>
      </c>
      <c r="CM9" s="87">
        <f>CM10+CM21+CM22+CM23+CM27</f>
        <v>8368.7199999994373</v>
      </c>
      <c r="CN9" s="87">
        <f t="shared" ref="CN9:CQ32" si="15">O9+AE9+AY9+CJ9</f>
        <v>48402807.950000003</v>
      </c>
      <c r="CO9" s="87">
        <f t="shared" si="15"/>
        <v>48714702.679999992</v>
      </c>
      <c r="CP9" s="87">
        <f t="shared" si="15"/>
        <v>47664238.579999998</v>
      </c>
      <c r="CQ9" s="87">
        <f t="shared" si="15"/>
        <v>381690.70999999758</v>
      </c>
    </row>
    <row r="10" spans="1:95" ht="16.5" x14ac:dyDescent="0.3">
      <c r="A10" s="9">
        <v>1</v>
      </c>
      <c r="B10" s="24" t="s">
        <v>27</v>
      </c>
      <c r="C10" s="25">
        <f t="shared" ref="C10:D10" si="16">C17+C18+C19+C16</f>
        <v>3318140.31</v>
      </c>
      <c r="D10" s="25">
        <f t="shared" si="16"/>
        <v>3318162.3699999996</v>
      </c>
      <c r="E10" s="25">
        <f>E17+E18+E19+E16</f>
        <v>2821167.1100000003</v>
      </c>
      <c r="F10" s="173">
        <f>F17+F18+F19</f>
        <v>-0.83000000024912879</v>
      </c>
      <c r="G10" s="89">
        <f>G17+G18+G19+G16</f>
        <v>3318140.31</v>
      </c>
      <c r="H10" s="25">
        <f>H17+H18+H19+H16</f>
        <v>3318149.38</v>
      </c>
      <c r="I10" s="25">
        <f>I17+I18+I19+I16</f>
        <v>3190994.65</v>
      </c>
      <c r="J10" s="25">
        <f>J17+J18+J19</f>
        <v>-6.0699999999778811</v>
      </c>
      <c r="K10" s="25">
        <f>K17+K18+K19+K16</f>
        <v>3318140.31</v>
      </c>
      <c r="L10" s="25">
        <f>L17+L18+L19+L16</f>
        <v>3318138.6</v>
      </c>
      <c r="M10" s="25">
        <f>M17+M18+M19+M16+M20</f>
        <v>3339554.6000000006</v>
      </c>
      <c r="N10" s="25">
        <f>N17+N18+N19</f>
        <v>-15.5</v>
      </c>
      <c r="O10" s="25">
        <f t="shared" ref="O10:O21" si="17">C10+G10+K10</f>
        <v>9954420.9299999997</v>
      </c>
      <c r="P10" s="25">
        <f>P17+P18+P19+P16</f>
        <v>9954450.3499999996</v>
      </c>
      <c r="Q10" s="25">
        <f>Q17+Q18+Q19+Q16+Q20</f>
        <v>9351716.3599999994</v>
      </c>
      <c r="R10" s="25">
        <f>R17+R18+R19</f>
        <v>-22.400000000896398</v>
      </c>
      <c r="S10" s="25">
        <f>S17+S18+S19+S16</f>
        <v>3318140.31</v>
      </c>
      <c r="T10" s="25">
        <f t="shared" ref="T10" si="18">T17+T18+T19+T16</f>
        <v>3318151.8200000003</v>
      </c>
      <c r="U10" s="25">
        <f>U17+U18+U19+U16</f>
        <v>3265065.1100000003</v>
      </c>
      <c r="V10" s="25">
        <f>V17+V18+V19</f>
        <v>-2.279999999795109</v>
      </c>
      <c r="W10" s="25">
        <f>W17+W18+W19+W16</f>
        <v>3318140.31</v>
      </c>
      <c r="X10" s="88">
        <f>X17+X18+X19+X16</f>
        <v>3318176.97</v>
      </c>
      <c r="Y10" s="88">
        <f>Y17+Y18+Y19+Y16+Y20</f>
        <v>3050070.8499999996</v>
      </c>
      <c r="Z10" s="31">
        <f>Z17+Z18+Z19</f>
        <v>22.869999999995343</v>
      </c>
      <c r="AA10" s="89">
        <f>AA17+AA18+AA19+AA16</f>
        <v>3318140.31</v>
      </c>
      <c r="AB10" s="25">
        <f>AB17+AB18+AB19+AB16+AB20</f>
        <v>3318180.7499999995</v>
      </c>
      <c r="AC10" s="25">
        <f>AC17+AC18+AC19+AC16+AC20</f>
        <v>3329010.5000000005</v>
      </c>
      <c r="AD10" s="25">
        <f>AD17+AD18+AD19</f>
        <v>26.649999999761349</v>
      </c>
      <c r="AE10" s="25">
        <f>AE17+AE18+AE19+AE16</f>
        <v>9954420.9300000016</v>
      </c>
      <c r="AF10" s="25">
        <f>AF17+AF18+AF19+AF16</f>
        <v>9954509.5399999991</v>
      </c>
      <c r="AG10" s="25">
        <f>AG17+AG18+AG19+AG16+AG20</f>
        <v>9644146.4600000009</v>
      </c>
      <c r="AH10" s="25">
        <f>AH17+AH18+AH19</f>
        <v>47.239999999583233</v>
      </c>
      <c r="AI10" s="25">
        <f>AI17+AI18+AI19+AI16</f>
        <v>19908841.860000003</v>
      </c>
      <c r="AJ10" s="25">
        <f>AJ17+AJ18+AJ19+AJ16</f>
        <v>19908959.890000001</v>
      </c>
      <c r="AK10" s="25">
        <f>AK17+AK18+AK19+AK16+AK20</f>
        <v>18995862.82</v>
      </c>
      <c r="AL10" s="25">
        <f>AL17+AL18+AL19</f>
        <v>24.839999997755513</v>
      </c>
      <c r="AM10" s="25">
        <f>AM17+AM18+AM19+AM16</f>
        <v>3318140.31</v>
      </c>
      <c r="AN10" s="90">
        <f>AN16+AN17+AN18+AN19</f>
        <v>3318242.04</v>
      </c>
      <c r="AO10" s="90">
        <f>AO16+AO17+AO18+AO19</f>
        <v>3401608.73</v>
      </c>
      <c r="AP10" s="25">
        <f>AP17+AP18+AP19</f>
        <v>87.939999999827705</v>
      </c>
      <c r="AQ10" s="25">
        <f>AQ17+AQ18+AQ19+AQ16</f>
        <v>3318140.31</v>
      </c>
      <c r="AR10" s="25">
        <f>AR16+AR17+AR18+AR19</f>
        <v>3318261.62</v>
      </c>
      <c r="AS10" s="25">
        <f>AS16+AS17+AS18+AS19</f>
        <v>3288277.66</v>
      </c>
      <c r="AT10" s="25">
        <f>AT17+AT18+AT19</f>
        <v>110.54999999995925</v>
      </c>
      <c r="AU10" s="25">
        <f>AU17+AU18+AU19+AU16</f>
        <v>3318140.31</v>
      </c>
      <c r="AV10" s="25">
        <f>AV16+AV17+AV18+AV19</f>
        <v>3318300.47</v>
      </c>
      <c r="AW10" s="25">
        <f>AW16+AW17+AW18+AW19+AW20</f>
        <v>3377851.0999999996</v>
      </c>
      <c r="AX10" s="25">
        <f>AX17+AX18+AX19</f>
        <v>149.39999999981956</v>
      </c>
      <c r="AY10" s="25">
        <f>AY17+AY18+AY19+AY16</f>
        <v>9954420.9300000016</v>
      </c>
      <c r="AZ10" s="25">
        <f>AZ17+AZ18+AZ19+AZ16+AZ20</f>
        <v>9954804.129999999</v>
      </c>
      <c r="BA10" s="25">
        <f>BA17+BA18+BA19+BA16+BA20</f>
        <v>10118087.939999999</v>
      </c>
      <c r="BB10" s="88">
        <f>BB17+BB18+BB19</f>
        <v>347.88999999972293</v>
      </c>
      <c r="BC10" s="25">
        <f>BC11+BC12+BC13+BC14+BC15+BC16+BC17+BC18+BC19</f>
        <v>33459246.02</v>
      </c>
      <c r="BD10" s="25">
        <f>BD16+BD17+BD18+BD19+BD20</f>
        <v>29863764.02</v>
      </c>
      <c r="BE10" s="25">
        <f>BE16+BE17+BE18+BE19+BE20</f>
        <v>29113950.760000005</v>
      </c>
      <c r="BF10" s="173">
        <f>BF17+BF18+BF19</f>
        <v>372.72999999811873</v>
      </c>
      <c r="BG10" s="89">
        <f>BG17+BG18+BG19+BG16</f>
        <v>3318140.31</v>
      </c>
      <c r="BH10" s="25">
        <f>BH16+BH17+BH18+BH19+BH20</f>
        <v>3319630.48</v>
      </c>
      <c r="BI10" s="25">
        <f>BI16+BI17+BI18+BI19+BI20</f>
        <v>3317642.54</v>
      </c>
      <c r="BJ10" s="25">
        <f>BJ17+BJ18+BJ19</f>
        <v>1492.2999999997264</v>
      </c>
      <c r="BK10" s="25">
        <f>BK17+BK18+BK19+BK16</f>
        <v>3318140.31</v>
      </c>
      <c r="BL10" s="25">
        <f>BL16+BL17+BL18+BL19+BL20</f>
        <v>3318263.5</v>
      </c>
      <c r="BM10" s="25">
        <f>BM16+BM17+BM18+BM19+BM20</f>
        <v>3171981.86</v>
      </c>
      <c r="BN10" s="25">
        <f>BN17+BN18+BN19</f>
        <v>125.31999999994878</v>
      </c>
      <c r="BO10" s="25">
        <f>BO17+BO18+BO19+BO16</f>
        <v>3318140.31</v>
      </c>
      <c r="BP10" s="25">
        <f>BP16+BP17+BP18+BP19+BP20</f>
        <v>3318264.5199999996</v>
      </c>
      <c r="BQ10" s="25">
        <f>BQ16+BQ17+BQ18+BQ19+BQ20</f>
        <v>3600511.77</v>
      </c>
      <c r="BR10" s="25">
        <f>BR17+BR18+BR19</f>
        <v>124.06999999983236</v>
      </c>
      <c r="BS10" s="25">
        <f>BS17+BS18+BS19+BS16</f>
        <v>9954420.9300000016</v>
      </c>
      <c r="BT10" s="25">
        <f>BT16+BT17+BT18+BT19+BT20</f>
        <v>9956158.4999999981</v>
      </c>
      <c r="BU10" s="25">
        <f>BU16+BU17+BU18+BU19+BU20</f>
        <v>10090136.17</v>
      </c>
      <c r="BV10" s="25">
        <f>BV17+BV18+BV19</f>
        <v>1741.6899999980815</v>
      </c>
      <c r="BW10" s="25">
        <f>BW17+BW18+BW19+BW16</f>
        <v>19908841.860000003</v>
      </c>
      <c r="BX10" s="25">
        <f>BX16+BX17+BX18+BX19+BX20</f>
        <v>19910962.629999999</v>
      </c>
      <c r="BY10" s="25">
        <f>BY16+BY17+BY18+BY19+BY20</f>
        <v>20208224.109999999</v>
      </c>
      <c r="BZ10" s="25">
        <f>BZ17+BZ18+BZ19</f>
        <v>2089.5799999976298</v>
      </c>
      <c r="CA10" s="25">
        <f>CA17+CA18+CA19+CA16</f>
        <v>39817683.720000006</v>
      </c>
      <c r="CB10" s="25">
        <f>CB16+CB17+CB18+CB19+CB20</f>
        <v>39819922.519999996</v>
      </c>
      <c r="CC10" s="25">
        <f>CC16+CC17+CC18+CC19+CC20</f>
        <v>39204086.93</v>
      </c>
      <c r="CD10" s="25">
        <f>CD17+CD18+CD19</f>
        <v>2114.4199999955017</v>
      </c>
      <c r="CF10" s="3"/>
      <c r="CJ10" s="208">
        <f>SUM(CJ11:CJ19)</f>
        <v>11228677.290000001</v>
      </c>
      <c r="CK10" s="208">
        <f>SUM(CK11:CK19)</f>
        <v>11153534.599999998</v>
      </c>
      <c r="CL10" s="208">
        <f>SUM(CL11:CL19)</f>
        <v>11101563.57</v>
      </c>
      <c r="CM10" s="208">
        <f>SUM(CM11:CM19)</f>
        <v>-75142.690000000555</v>
      </c>
      <c r="CN10" s="208">
        <f t="shared" si="15"/>
        <v>41091940.079999998</v>
      </c>
      <c r="CO10" s="208">
        <f t="shared" si="15"/>
        <v>41017298.619999997</v>
      </c>
      <c r="CP10" s="208">
        <f t="shared" si="15"/>
        <v>40215514.329999998</v>
      </c>
      <c r="CQ10" s="208">
        <f t="shared" si="15"/>
        <v>-74769.960000002146</v>
      </c>
    </row>
    <row r="11" spans="1:95" ht="16.5" x14ac:dyDescent="0.3">
      <c r="A11" s="9"/>
      <c r="B11" s="28" t="s">
        <v>28</v>
      </c>
      <c r="C11" s="174">
        <v>279591.21999999997</v>
      </c>
      <c r="D11" s="18">
        <f>266528.71+15981.01</f>
        <v>282509.72000000003</v>
      </c>
      <c r="E11" s="43">
        <v>257008.51</v>
      </c>
      <c r="F11" s="170">
        <f>D11-C11</f>
        <v>2918.5000000000582</v>
      </c>
      <c r="G11" s="83">
        <v>279591.21999999997</v>
      </c>
      <c r="H11" s="18">
        <v>266527.38</v>
      </c>
      <c r="I11" s="43">
        <v>259786.49</v>
      </c>
      <c r="J11" s="19">
        <f>H11-G11</f>
        <v>-13063.839999999967</v>
      </c>
      <c r="K11" s="17">
        <v>279591.21999999997</v>
      </c>
      <c r="L11" s="18">
        <v>266526.26</v>
      </c>
      <c r="M11" s="43">
        <v>259589</v>
      </c>
      <c r="N11" s="25">
        <f>L11-K11</f>
        <v>-13064.959999999963</v>
      </c>
      <c r="O11" s="17">
        <f t="shared" si="17"/>
        <v>838773.65999999992</v>
      </c>
      <c r="P11" s="43">
        <f t="shared" ref="P11:Q26" si="19">L11+H11+D11</f>
        <v>815563.3600000001</v>
      </c>
      <c r="Q11" s="43">
        <f t="shared" si="19"/>
        <v>776384</v>
      </c>
      <c r="R11" s="19">
        <f>P11-O11</f>
        <v>-23210.299999999814</v>
      </c>
      <c r="S11" s="17">
        <v>279591.21999999997</v>
      </c>
      <c r="T11" s="18">
        <v>266527.39</v>
      </c>
      <c r="U11" s="43">
        <v>266095.15999999997</v>
      </c>
      <c r="V11" s="19">
        <f>T11-S11</f>
        <v>-13063.829999999958</v>
      </c>
      <c r="W11" s="17">
        <v>279591.21999999997</v>
      </c>
      <c r="X11" s="18">
        <v>266528.8</v>
      </c>
      <c r="Y11" s="37">
        <v>254244.56</v>
      </c>
      <c r="Z11" s="18">
        <f>X11-W11</f>
        <v>-13062.419999999984</v>
      </c>
      <c r="AA11" s="17">
        <v>279591.21999999997</v>
      </c>
      <c r="AB11" s="18">
        <v>266529.49</v>
      </c>
      <c r="AC11" s="199">
        <v>269313.87</v>
      </c>
      <c r="AD11" s="19">
        <f>AB11-AA11</f>
        <v>-13061.729999999981</v>
      </c>
      <c r="AE11" s="17">
        <f t="shared" ref="AE11:AG26" si="20">S11+W11+AA11</f>
        <v>838773.65999999992</v>
      </c>
      <c r="AF11" s="18">
        <f t="shared" si="20"/>
        <v>799585.67999999993</v>
      </c>
      <c r="AG11" s="18">
        <f t="shared" si="20"/>
        <v>789653.59</v>
      </c>
      <c r="AH11" s="19">
        <f>AF11-AE11</f>
        <v>-39187.979999999981</v>
      </c>
      <c r="AI11" s="17">
        <f t="shared" ref="AI11:AK20" si="21">O11+AE11</f>
        <v>1677547.3199999998</v>
      </c>
      <c r="AJ11" s="18">
        <f t="shared" si="21"/>
        <v>1615149.04</v>
      </c>
      <c r="AK11" s="18">
        <f t="shared" si="21"/>
        <v>1566037.5899999999</v>
      </c>
      <c r="AL11" s="19">
        <f>AJ11-AI11</f>
        <v>-62398.279999999795</v>
      </c>
      <c r="AM11" s="17">
        <v>293995.62</v>
      </c>
      <c r="AN11" s="18">
        <v>277178.03000000003</v>
      </c>
      <c r="AO11" s="43">
        <v>274733.98</v>
      </c>
      <c r="AP11" s="20">
        <f>AN11-AM11</f>
        <v>-16817.589999999967</v>
      </c>
      <c r="AQ11" s="17">
        <v>293995.62</v>
      </c>
      <c r="AR11" s="18">
        <v>277180.13</v>
      </c>
      <c r="AS11" s="44">
        <f>272458.45+2142.31</f>
        <v>274600.76</v>
      </c>
      <c r="AT11" s="20">
        <f>AR11-AQ11</f>
        <v>-16815.489999999991</v>
      </c>
      <c r="AU11" s="17">
        <v>293995.62</v>
      </c>
      <c r="AV11" s="18">
        <v>247183.34</v>
      </c>
      <c r="AW11" s="43">
        <v>279363.90999999997</v>
      </c>
      <c r="AX11" s="20">
        <f>AV11-AU11</f>
        <v>-46812.28</v>
      </c>
      <c r="AY11" s="17">
        <f t="shared" ref="AY11:BA22" si="22">AM11+AQ11+AU11</f>
        <v>881986.86</v>
      </c>
      <c r="AZ11" s="18">
        <f t="shared" si="22"/>
        <v>801541.5</v>
      </c>
      <c r="BA11" s="18">
        <f t="shared" si="22"/>
        <v>828698.64999999991</v>
      </c>
      <c r="BB11" s="19">
        <f>AZ11-AY11</f>
        <v>-80445.359999999986</v>
      </c>
      <c r="BC11" s="190">
        <f t="shared" ref="BC11:BE26" si="23">(AI11+AY11)</f>
        <v>2559534.1799999997</v>
      </c>
      <c r="BD11" s="84">
        <f t="shared" si="23"/>
        <v>2416690.54</v>
      </c>
      <c r="BE11" s="84">
        <f t="shared" si="23"/>
        <v>2394736.2399999998</v>
      </c>
      <c r="BF11" s="170">
        <f>BD11-BC11</f>
        <v>-142843.63999999966</v>
      </c>
      <c r="BG11" s="17">
        <v>293995.62</v>
      </c>
      <c r="BH11" s="18">
        <v>277181.18</v>
      </c>
      <c r="BI11" s="43">
        <f>272867.03+1447.11</f>
        <v>274314.14</v>
      </c>
      <c r="BJ11" s="41">
        <f>BH11-BG11</f>
        <v>-16814.440000000002</v>
      </c>
      <c r="BK11" s="17">
        <v>293995.62</v>
      </c>
      <c r="BL11" s="43">
        <f>277179.41</f>
        <v>277179.40999999997</v>
      </c>
      <c r="BM11" s="43">
        <f>266701.1+1429.22+344.39</f>
        <v>268474.70999999996</v>
      </c>
      <c r="BN11" s="41">
        <f>BL11-BK11</f>
        <v>-16816.210000000021</v>
      </c>
      <c r="BO11" s="17">
        <v>293995.62</v>
      </c>
      <c r="BP11" s="43">
        <v>277178.8</v>
      </c>
      <c r="BQ11" s="43">
        <v>289038.5</v>
      </c>
      <c r="BR11" s="41">
        <f>BP11-BO11</f>
        <v>-16816.820000000007</v>
      </c>
      <c r="BS11" s="17">
        <f t="shared" ref="BS11:BU26" si="24">BG11+BK11+BO11</f>
        <v>881986.86</v>
      </c>
      <c r="BT11" s="18">
        <f t="shared" si="24"/>
        <v>831539.3899999999</v>
      </c>
      <c r="BU11" s="18">
        <f t="shared" si="24"/>
        <v>831827.35</v>
      </c>
      <c r="BV11" s="20">
        <f>BT11-BS11</f>
        <v>-50447.470000000088</v>
      </c>
      <c r="BW11" s="17">
        <f t="shared" ref="BW11:BY26" si="25">BS11+AY11</f>
        <v>1763973.72</v>
      </c>
      <c r="BX11" s="18">
        <f t="shared" si="25"/>
        <v>1633080.89</v>
      </c>
      <c r="BY11" s="18">
        <f t="shared" si="25"/>
        <v>1660526</v>
      </c>
      <c r="BZ11" s="20">
        <f>BX11-BW11</f>
        <v>-130892.83000000007</v>
      </c>
      <c r="CA11" s="17">
        <f t="shared" ref="CA11:CC22" si="26">BW11+AI11</f>
        <v>3441521.04</v>
      </c>
      <c r="CB11" s="18">
        <f t="shared" si="26"/>
        <v>3248229.9299999997</v>
      </c>
      <c r="CC11" s="18">
        <f t="shared" si="26"/>
        <v>3226563.59</v>
      </c>
      <c r="CD11" s="20">
        <f>CB11-CA11</f>
        <v>-193291.11000000034</v>
      </c>
      <c r="CF11" s="3"/>
      <c r="CJ11" s="91">
        <f t="shared" ref="CJ11:CM22" si="27">BG11+BK11+BO11</f>
        <v>881986.86</v>
      </c>
      <c r="CK11" s="91">
        <f t="shared" si="27"/>
        <v>831539.3899999999</v>
      </c>
      <c r="CL11" s="91">
        <f t="shared" si="27"/>
        <v>831827.35</v>
      </c>
      <c r="CM11" s="91">
        <f t="shared" si="27"/>
        <v>-50447.47000000003</v>
      </c>
      <c r="CN11" s="91">
        <f t="shared" si="15"/>
        <v>3441521.0399999996</v>
      </c>
      <c r="CO11" s="91">
        <f t="shared" si="15"/>
        <v>3248229.9299999997</v>
      </c>
      <c r="CP11" s="91">
        <f t="shared" si="15"/>
        <v>3226563.59</v>
      </c>
      <c r="CQ11" s="91">
        <f t="shared" si="15"/>
        <v>-193291.10999999981</v>
      </c>
    </row>
    <row r="12" spans="1:95" ht="15.75" customHeight="1" x14ac:dyDescent="0.3">
      <c r="A12" s="9"/>
      <c r="B12" s="26" t="s">
        <v>29</v>
      </c>
      <c r="C12" s="174"/>
      <c r="D12" s="18"/>
      <c r="E12" s="43">
        <v>6057.27</v>
      </c>
      <c r="F12" s="170">
        <f>D12-C12</f>
        <v>0</v>
      </c>
      <c r="G12" s="83"/>
      <c r="H12" s="18"/>
      <c r="I12" s="43">
        <v>2304.5100000000002</v>
      </c>
      <c r="J12" s="19">
        <f>H12-G12</f>
        <v>0</v>
      </c>
      <c r="K12" s="17"/>
      <c r="L12" s="18"/>
      <c r="M12" s="43">
        <v>3962.67</v>
      </c>
      <c r="N12" s="25">
        <f t="shared" ref="N12:N27" si="28">L12-K12</f>
        <v>0</v>
      </c>
      <c r="O12" s="17">
        <f t="shared" si="17"/>
        <v>0</v>
      </c>
      <c r="P12" s="43">
        <f t="shared" si="19"/>
        <v>0</v>
      </c>
      <c r="Q12" s="43">
        <f t="shared" si="19"/>
        <v>12324.45</v>
      </c>
      <c r="R12" s="19">
        <f>P12-O12</f>
        <v>0</v>
      </c>
      <c r="S12" s="17"/>
      <c r="T12" s="18"/>
      <c r="U12" s="43">
        <v>3924.27</v>
      </c>
      <c r="V12" s="19">
        <f>T12-S12</f>
        <v>0</v>
      </c>
      <c r="W12" s="17"/>
      <c r="X12" s="18"/>
      <c r="Y12" s="37">
        <v>1558.87</v>
      </c>
      <c r="Z12" s="18">
        <f>X12-W12</f>
        <v>0</v>
      </c>
      <c r="AA12" s="17"/>
      <c r="AB12" s="18"/>
      <c r="AC12" s="199">
        <v>2957.38</v>
      </c>
      <c r="AD12" s="19">
        <f t="shared" ref="AD12:AD50" si="29">AB12-AA12</f>
        <v>0</v>
      </c>
      <c r="AE12" s="17">
        <f t="shared" si="20"/>
        <v>0</v>
      </c>
      <c r="AF12" s="18">
        <f t="shared" si="20"/>
        <v>0</v>
      </c>
      <c r="AG12" s="18">
        <f t="shared" si="20"/>
        <v>8440.52</v>
      </c>
      <c r="AH12" s="19">
        <f>AF12-AE12</f>
        <v>0</v>
      </c>
      <c r="AI12" s="17">
        <f t="shared" si="21"/>
        <v>0</v>
      </c>
      <c r="AJ12" s="43">
        <f t="shared" si="21"/>
        <v>0</v>
      </c>
      <c r="AK12" s="18">
        <f t="shared" si="21"/>
        <v>20764.97</v>
      </c>
      <c r="AL12" s="19">
        <f>AJ12-AI12</f>
        <v>0</v>
      </c>
      <c r="AM12" s="17"/>
      <c r="AN12" s="18"/>
      <c r="AO12" s="43">
        <v>2784.12</v>
      </c>
      <c r="AP12" s="20">
        <f>AN12-AM12</f>
        <v>0</v>
      </c>
      <c r="AQ12" s="17"/>
      <c r="AR12" s="18"/>
      <c r="AS12" s="43">
        <v>2593.9899999999998</v>
      </c>
      <c r="AT12" s="20">
        <f>AR12-AQ12</f>
        <v>0</v>
      </c>
      <c r="AU12" s="17"/>
      <c r="AV12" s="18"/>
      <c r="AW12" s="43">
        <v>1826.07</v>
      </c>
      <c r="AX12" s="20">
        <f>AV12-AU12</f>
        <v>0</v>
      </c>
      <c r="AY12" s="17">
        <f t="shared" si="22"/>
        <v>0</v>
      </c>
      <c r="AZ12" s="18">
        <f t="shared" si="22"/>
        <v>0</v>
      </c>
      <c r="BA12" s="18">
        <f t="shared" si="22"/>
        <v>7204.1799999999994</v>
      </c>
      <c r="BB12" s="19">
        <f>AZ12-AY12</f>
        <v>0</v>
      </c>
      <c r="BC12" s="190">
        <f t="shared" si="23"/>
        <v>0</v>
      </c>
      <c r="BD12" s="84">
        <f t="shared" si="23"/>
        <v>0</v>
      </c>
      <c r="BE12" s="84">
        <f t="shared" si="23"/>
        <v>27969.15</v>
      </c>
      <c r="BF12" s="170">
        <f>BD12-BC12</f>
        <v>0</v>
      </c>
      <c r="BG12" s="17"/>
      <c r="BH12" s="18"/>
      <c r="BI12" s="43">
        <v>284.60000000000002</v>
      </c>
      <c r="BJ12" s="41">
        <f t="shared" ref="BJ12:BJ50" si="30">BH12-BG12</f>
        <v>0</v>
      </c>
      <c r="BK12" s="17"/>
      <c r="BL12" s="43"/>
      <c r="BM12" s="43">
        <v>1097.76</v>
      </c>
      <c r="BN12" s="41">
        <f>BL12-BK12</f>
        <v>0</v>
      </c>
      <c r="BO12" s="17"/>
      <c r="BP12" s="43"/>
      <c r="BQ12" s="43">
        <v>3252.4</v>
      </c>
      <c r="BR12" s="41">
        <f>BP12-BO12</f>
        <v>0</v>
      </c>
      <c r="BS12" s="17">
        <f t="shared" si="24"/>
        <v>0</v>
      </c>
      <c r="BT12" s="18">
        <f t="shared" si="24"/>
        <v>0</v>
      </c>
      <c r="BU12" s="18">
        <f t="shared" si="24"/>
        <v>4634.76</v>
      </c>
      <c r="BV12" s="20">
        <f>BT12-BS12</f>
        <v>0</v>
      </c>
      <c r="BW12" s="17">
        <f t="shared" si="25"/>
        <v>0</v>
      </c>
      <c r="BX12" s="18">
        <f t="shared" si="25"/>
        <v>0</v>
      </c>
      <c r="BY12" s="18">
        <f t="shared" si="25"/>
        <v>11838.939999999999</v>
      </c>
      <c r="BZ12" s="20">
        <f>BX12-BW12</f>
        <v>0</v>
      </c>
      <c r="CA12" s="17">
        <f t="shared" si="26"/>
        <v>0</v>
      </c>
      <c r="CB12" s="18">
        <f t="shared" si="26"/>
        <v>0</v>
      </c>
      <c r="CC12" s="18">
        <f t="shared" si="26"/>
        <v>32603.91</v>
      </c>
      <c r="CD12" s="20">
        <f>CB12-CA12</f>
        <v>0</v>
      </c>
      <c r="CF12" s="3"/>
      <c r="CG12" s="3"/>
      <c r="CJ12" s="91">
        <f t="shared" si="27"/>
        <v>0</v>
      </c>
      <c r="CK12" s="91">
        <f t="shared" si="27"/>
        <v>0</v>
      </c>
      <c r="CL12" s="91">
        <f t="shared" si="27"/>
        <v>4634.76</v>
      </c>
      <c r="CM12" s="91">
        <f t="shared" si="27"/>
        <v>0</v>
      </c>
      <c r="CN12" s="91">
        <f t="shared" si="15"/>
        <v>0</v>
      </c>
      <c r="CO12" s="91">
        <f t="shared" si="15"/>
        <v>0</v>
      </c>
      <c r="CP12" s="91">
        <f t="shared" si="15"/>
        <v>32603.910000000003</v>
      </c>
      <c r="CQ12" s="91">
        <f t="shared" si="15"/>
        <v>0</v>
      </c>
    </row>
    <row r="13" spans="1:95" ht="16.5" x14ac:dyDescent="0.3">
      <c r="A13" s="9"/>
      <c r="B13" s="26" t="s">
        <v>30</v>
      </c>
      <c r="C13" s="174"/>
      <c r="D13" s="18"/>
      <c r="E13" s="43">
        <v>61835.13</v>
      </c>
      <c r="F13" s="170">
        <f>D13-C13</f>
        <v>0</v>
      </c>
      <c r="G13" s="83">
        <v>77763.95</v>
      </c>
      <c r="H13" s="18">
        <v>72512.87</v>
      </c>
      <c r="I13" s="43">
        <v>7306.87</v>
      </c>
      <c r="J13" s="19">
        <f>H13-G13</f>
        <v>-5251.0800000000017</v>
      </c>
      <c r="K13" s="17">
        <v>77763.95</v>
      </c>
      <c r="L13" s="18">
        <v>72512.73</v>
      </c>
      <c r="M13" s="43">
        <v>62809.81</v>
      </c>
      <c r="N13" s="25">
        <f t="shared" si="28"/>
        <v>-5251.2200000000012</v>
      </c>
      <c r="O13" s="17">
        <f t="shared" si="17"/>
        <v>155527.9</v>
      </c>
      <c r="P13" s="43">
        <f t="shared" si="19"/>
        <v>145025.59999999998</v>
      </c>
      <c r="Q13" s="43">
        <f t="shared" si="19"/>
        <v>131951.81</v>
      </c>
      <c r="R13" s="19">
        <f>P13-O13</f>
        <v>-10502.300000000017</v>
      </c>
      <c r="S13" s="17">
        <v>77763.95</v>
      </c>
      <c r="T13" s="18">
        <v>72512.98</v>
      </c>
      <c r="U13" s="43">
        <v>64197.17</v>
      </c>
      <c r="V13" s="19">
        <f>T13-S13</f>
        <v>-5250.9700000000012</v>
      </c>
      <c r="W13" s="17">
        <v>77763.95</v>
      </c>
      <c r="X13" s="18">
        <v>72513.47</v>
      </c>
      <c r="Y13" s="37">
        <v>65460.22</v>
      </c>
      <c r="Z13" s="18">
        <f>X13-W13</f>
        <v>-5250.4799999999959</v>
      </c>
      <c r="AA13" s="17">
        <v>77763.95</v>
      </c>
      <c r="AB13" s="18">
        <v>72513.36</v>
      </c>
      <c r="AC13" s="199">
        <v>67756.789999999994</v>
      </c>
      <c r="AD13" s="19">
        <f t="shared" si="29"/>
        <v>-5250.5899999999965</v>
      </c>
      <c r="AE13" s="17">
        <f t="shared" si="20"/>
        <v>233291.84999999998</v>
      </c>
      <c r="AF13" s="18">
        <f t="shared" si="20"/>
        <v>217539.81</v>
      </c>
      <c r="AG13" s="18">
        <f t="shared" si="20"/>
        <v>197414.18</v>
      </c>
      <c r="AH13" s="19">
        <f>AF13-AE13</f>
        <v>-15752.039999999979</v>
      </c>
      <c r="AI13" s="17">
        <f t="shared" si="21"/>
        <v>388819.75</v>
      </c>
      <c r="AJ13" s="43">
        <f t="shared" si="21"/>
        <v>362565.41</v>
      </c>
      <c r="AK13" s="18">
        <f t="shared" si="21"/>
        <v>329365.99</v>
      </c>
      <c r="AL13" s="19">
        <f>AJ13-AI13</f>
        <v>-26254.340000000026</v>
      </c>
      <c r="AM13" s="17">
        <v>79684.58</v>
      </c>
      <c r="AN13" s="18">
        <v>74292.320000000007</v>
      </c>
      <c r="AO13" s="43">
        <v>69871.88</v>
      </c>
      <c r="AP13" s="20">
        <f>AN13-AM13</f>
        <v>-5392.2599999999948</v>
      </c>
      <c r="AQ13" s="17">
        <v>79684.58</v>
      </c>
      <c r="AR13" s="18">
        <v>74292.41</v>
      </c>
      <c r="AS13" s="43">
        <f>70204.9</f>
        <v>70204.899999999994</v>
      </c>
      <c r="AT13" s="20">
        <f>AR13-AQ13</f>
        <v>-5392.1699999999983</v>
      </c>
      <c r="AU13" s="17">
        <v>79684.58</v>
      </c>
      <c r="AV13" s="18">
        <v>74293.3</v>
      </c>
      <c r="AW13" s="43">
        <f>4178.95+70413.85</f>
        <v>74592.800000000003</v>
      </c>
      <c r="AX13" s="20">
        <f>AV13-AU13</f>
        <v>-5391.2799999999988</v>
      </c>
      <c r="AY13" s="17">
        <f t="shared" si="22"/>
        <v>239053.74</v>
      </c>
      <c r="AZ13" s="18">
        <f t="shared" si="22"/>
        <v>222878.03000000003</v>
      </c>
      <c r="BA13" s="18">
        <f t="shared" si="22"/>
        <v>214669.58000000002</v>
      </c>
      <c r="BB13" s="19">
        <f>AZ13-AY13</f>
        <v>-16175.709999999963</v>
      </c>
      <c r="BC13" s="190">
        <f t="shared" si="23"/>
        <v>627873.49</v>
      </c>
      <c r="BD13" s="84">
        <f t="shared" si="23"/>
        <v>585443.43999999994</v>
      </c>
      <c r="BE13" s="84">
        <f t="shared" si="23"/>
        <v>544035.57000000007</v>
      </c>
      <c r="BF13" s="170">
        <f>BD13-BC13</f>
        <v>-42430.050000000047</v>
      </c>
      <c r="BG13" s="17">
        <v>79684.58</v>
      </c>
      <c r="BH13" s="18">
        <v>74292.98</v>
      </c>
      <c r="BI13" s="43">
        <f>70900.36+113.03</f>
        <v>71013.39</v>
      </c>
      <c r="BJ13" s="41">
        <f t="shared" si="30"/>
        <v>-5391.6000000000058</v>
      </c>
      <c r="BK13" s="17">
        <v>79684.58</v>
      </c>
      <c r="BL13" s="43">
        <f>74292.58</f>
        <v>74292.58</v>
      </c>
      <c r="BM13" s="43">
        <f>3358.55+68310.3</f>
        <v>71668.850000000006</v>
      </c>
      <c r="BN13" s="41">
        <f>BL13-BK13</f>
        <v>-5392</v>
      </c>
      <c r="BO13" s="17">
        <v>79684.58</v>
      </c>
      <c r="BP13" s="43">
        <v>74292.25</v>
      </c>
      <c r="BQ13" s="43">
        <v>73942.06</v>
      </c>
      <c r="BR13" s="41">
        <f>BP13-BO13</f>
        <v>-5392.3300000000017</v>
      </c>
      <c r="BS13" s="17">
        <f t="shared" si="24"/>
        <v>239053.74</v>
      </c>
      <c r="BT13" s="18">
        <f t="shared" si="24"/>
        <v>222877.81</v>
      </c>
      <c r="BU13" s="18">
        <f t="shared" si="24"/>
        <v>216624.3</v>
      </c>
      <c r="BV13" s="20">
        <f>BT13-BS13</f>
        <v>-16175.929999999993</v>
      </c>
      <c r="BW13" s="17">
        <f t="shared" si="25"/>
        <v>478107.48</v>
      </c>
      <c r="BX13" s="18">
        <f t="shared" si="25"/>
        <v>445755.84</v>
      </c>
      <c r="BY13" s="18">
        <f t="shared" si="25"/>
        <v>431293.88</v>
      </c>
      <c r="BZ13" s="20">
        <f>BX13-BW13</f>
        <v>-32351.639999999956</v>
      </c>
      <c r="CA13" s="17">
        <f t="shared" si="26"/>
        <v>866927.23</v>
      </c>
      <c r="CB13" s="18">
        <f t="shared" si="26"/>
        <v>808321.25</v>
      </c>
      <c r="CC13" s="18">
        <f t="shared" si="26"/>
        <v>760659.87</v>
      </c>
      <c r="CD13" s="20">
        <f>CB13-CA13</f>
        <v>-58605.979999999981</v>
      </c>
      <c r="CF13" s="3"/>
      <c r="CG13" s="3"/>
      <c r="CJ13" s="91">
        <f t="shared" si="27"/>
        <v>239053.74</v>
      </c>
      <c r="CK13" s="91">
        <f t="shared" si="27"/>
        <v>222877.81</v>
      </c>
      <c r="CL13" s="91">
        <f t="shared" si="27"/>
        <v>216624.3</v>
      </c>
      <c r="CM13" s="91">
        <f t="shared" si="27"/>
        <v>-16175.930000000008</v>
      </c>
      <c r="CN13" s="91">
        <f t="shared" si="15"/>
        <v>866927.23</v>
      </c>
      <c r="CO13" s="91">
        <f t="shared" si="15"/>
        <v>808321.25</v>
      </c>
      <c r="CP13" s="91">
        <f t="shared" si="15"/>
        <v>760659.87000000011</v>
      </c>
      <c r="CQ13" s="91">
        <f t="shared" si="15"/>
        <v>-58605.979999999967</v>
      </c>
    </row>
    <row r="14" spans="1:95" ht="16.5" x14ac:dyDescent="0.3">
      <c r="A14" s="9"/>
      <c r="B14" s="26" t="s">
        <v>31</v>
      </c>
      <c r="C14" s="174"/>
      <c r="D14" s="18"/>
      <c r="E14" s="43">
        <v>11483.02</v>
      </c>
      <c r="F14" s="170">
        <f>D14-C14</f>
        <v>0</v>
      </c>
      <c r="G14" s="83">
        <v>16882.09</v>
      </c>
      <c r="H14" s="18">
        <v>15766.28</v>
      </c>
      <c r="I14" s="43">
        <v>1413.56</v>
      </c>
      <c r="J14" s="19">
        <f>H14-G14</f>
        <v>-1115.8099999999995</v>
      </c>
      <c r="K14" s="17">
        <v>16882.09</v>
      </c>
      <c r="L14" s="18">
        <v>15766.27</v>
      </c>
      <c r="M14" s="43">
        <v>13558.25</v>
      </c>
      <c r="N14" s="25">
        <f t="shared" si="28"/>
        <v>-1115.8199999999997</v>
      </c>
      <c r="O14" s="17">
        <f t="shared" si="17"/>
        <v>33764.18</v>
      </c>
      <c r="P14" s="43">
        <f t="shared" si="19"/>
        <v>31532.550000000003</v>
      </c>
      <c r="Q14" s="43">
        <f t="shared" si="19"/>
        <v>26454.83</v>
      </c>
      <c r="R14" s="19">
        <f>P14-O14</f>
        <v>-2231.6299999999974</v>
      </c>
      <c r="S14" s="17">
        <v>16882.09</v>
      </c>
      <c r="T14" s="18">
        <v>15766.34</v>
      </c>
      <c r="U14" s="43">
        <v>13894.06</v>
      </c>
      <c r="V14" s="19">
        <f>T14-S14</f>
        <v>-1115.75</v>
      </c>
      <c r="W14" s="17">
        <v>16882.09</v>
      </c>
      <c r="X14" s="18">
        <v>15766.47</v>
      </c>
      <c r="Y14" s="37">
        <v>14190.53</v>
      </c>
      <c r="Z14" s="18">
        <f>X14-W14</f>
        <v>-1115.6200000000008</v>
      </c>
      <c r="AA14" s="17">
        <v>16882.09</v>
      </c>
      <c r="AB14" s="18">
        <v>15766.44</v>
      </c>
      <c r="AC14" s="199">
        <v>14657.65</v>
      </c>
      <c r="AD14" s="19">
        <f t="shared" si="29"/>
        <v>-1115.6499999999996</v>
      </c>
      <c r="AE14" s="17">
        <f t="shared" si="20"/>
        <v>50646.270000000004</v>
      </c>
      <c r="AF14" s="18">
        <f t="shared" si="20"/>
        <v>47299.25</v>
      </c>
      <c r="AG14" s="18">
        <f t="shared" si="20"/>
        <v>42742.239999999998</v>
      </c>
      <c r="AH14" s="19">
        <f>AF14-AE14</f>
        <v>-3347.0200000000041</v>
      </c>
      <c r="AI14" s="17">
        <f t="shared" si="21"/>
        <v>84410.450000000012</v>
      </c>
      <c r="AJ14" s="43">
        <f t="shared" si="21"/>
        <v>78831.8</v>
      </c>
      <c r="AK14" s="18">
        <f t="shared" si="21"/>
        <v>69197.070000000007</v>
      </c>
      <c r="AL14" s="19">
        <f>AJ14-AI14</f>
        <v>-5578.6500000000087</v>
      </c>
      <c r="AM14" s="17">
        <v>16882.05</v>
      </c>
      <c r="AN14" s="18">
        <v>15767.52</v>
      </c>
      <c r="AO14" s="43">
        <v>15104.19</v>
      </c>
      <c r="AP14" s="20">
        <f>AN14-AM14</f>
        <v>-1114.5299999999988</v>
      </c>
      <c r="AQ14" s="17">
        <v>16882.05</v>
      </c>
      <c r="AR14" s="18">
        <v>15767.56</v>
      </c>
      <c r="AS14" s="43">
        <f>14894.92</f>
        <v>14894.92</v>
      </c>
      <c r="AT14" s="20">
        <f>AR14-AQ14</f>
        <v>-1114.4899999999998</v>
      </c>
      <c r="AU14" s="17">
        <v>16882.05</v>
      </c>
      <c r="AV14" s="18">
        <v>15767.79</v>
      </c>
      <c r="AW14" s="43">
        <f>14920.34+623.22</f>
        <v>15543.56</v>
      </c>
      <c r="AX14" s="20">
        <f>AV14-AU14</f>
        <v>-1114.2599999999984</v>
      </c>
      <c r="AY14" s="17">
        <f t="shared" si="22"/>
        <v>50646.149999999994</v>
      </c>
      <c r="AZ14" s="18">
        <f t="shared" si="22"/>
        <v>47302.87</v>
      </c>
      <c r="BA14" s="18">
        <f t="shared" si="22"/>
        <v>45542.67</v>
      </c>
      <c r="BB14" s="19">
        <f>AZ14-AY14</f>
        <v>-3343.2799999999916</v>
      </c>
      <c r="BC14" s="190">
        <f t="shared" si="23"/>
        <v>135056.6</v>
      </c>
      <c r="BD14" s="84">
        <f t="shared" si="23"/>
        <v>126134.67000000001</v>
      </c>
      <c r="BE14" s="84">
        <f t="shared" si="23"/>
        <v>114739.74</v>
      </c>
      <c r="BF14" s="170">
        <f>BD14-BC14</f>
        <v>-8921.929999999993</v>
      </c>
      <c r="BG14" s="17">
        <v>16882.05</v>
      </c>
      <c r="BH14" s="18">
        <v>15767.72</v>
      </c>
      <c r="BI14" s="43">
        <f>15038.16+31.56</f>
        <v>15069.72</v>
      </c>
      <c r="BJ14" s="41">
        <f t="shared" si="30"/>
        <v>-1114.33</v>
      </c>
      <c r="BK14" s="17">
        <v>16882.05</v>
      </c>
      <c r="BL14" s="43">
        <f>15767.63</f>
        <v>15767.63</v>
      </c>
      <c r="BM14" s="43">
        <f>14491.81+1291.31</f>
        <v>15783.119999999999</v>
      </c>
      <c r="BN14" s="41">
        <f>BL14-BK14</f>
        <v>-1114.42</v>
      </c>
      <c r="BO14" s="17">
        <v>16882.05</v>
      </c>
      <c r="BP14" s="43">
        <v>15767.55</v>
      </c>
      <c r="BQ14" s="43">
        <v>15665.86</v>
      </c>
      <c r="BR14" s="41">
        <f>BP14-BO14</f>
        <v>-1114.5</v>
      </c>
      <c r="BS14" s="17">
        <f t="shared" si="24"/>
        <v>50646.149999999994</v>
      </c>
      <c r="BT14" s="18">
        <f t="shared" si="24"/>
        <v>47302.899999999994</v>
      </c>
      <c r="BU14" s="18">
        <f t="shared" si="24"/>
        <v>46518.7</v>
      </c>
      <c r="BV14" s="20">
        <f>BT14-BS14</f>
        <v>-3343.25</v>
      </c>
      <c r="BW14" s="17">
        <f t="shared" si="25"/>
        <v>101292.29999999999</v>
      </c>
      <c r="BX14" s="18">
        <f t="shared" si="25"/>
        <v>94605.76999999999</v>
      </c>
      <c r="BY14" s="18">
        <f t="shared" si="25"/>
        <v>92061.37</v>
      </c>
      <c r="BZ14" s="20">
        <f>BX14-BW14</f>
        <v>-6686.5299999999988</v>
      </c>
      <c r="CA14" s="17">
        <f t="shared" si="26"/>
        <v>185702.75</v>
      </c>
      <c r="CB14" s="18">
        <f t="shared" si="26"/>
        <v>173437.57</v>
      </c>
      <c r="CC14" s="18">
        <f t="shared" si="26"/>
        <v>161258.44</v>
      </c>
      <c r="CD14" s="20">
        <f>CB14-CA14</f>
        <v>-12265.179999999993</v>
      </c>
      <c r="CF14" s="3"/>
      <c r="CJ14" s="91">
        <f t="shared" si="27"/>
        <v>50646.149999999994</v>
      </c>
      <c r="CK14" s="91">
        <f t="shared" si="27"/>
        <v>47302.899999999994</v>
      </c>
      <c r="CL14" s="91">
        <f t="shared" si="27"/>
        <v>46518.7</v>
      </c>
      <c r="CM14" s="91">
        <f t="shared" si="27"/>
        <v>-3343.25</v>
      </c>
      <c r="CN14" s="91">
        <f t="shared" si="15"/>
        <v>185702.75</v>
      </c>
      <c r="CO14" s="91">
        <f t="shared" si="15"/>
        <v>173437.57</v>
      </c>
      <c r="CP14" s="91">
        <f t="shared" si="15"/>
        <v>161258.44</v>
      </c>
      <c r="CQ14" s="91">
        <f t="shared" si="15"/>
        <v>-12265.179999999993</v>
      </c>
    </row>
    <row r="15" spans="1:95" ht="16.5" x14ac:dyDescent="0.3">
      <c r="A15" s="9"/>
      <c r="B15" s="26" t="s">
        <v>32</v>
      </c>
      <c r="C15" s="174"/>
      <c r="D15" s="18"/>
      <c r="E15" s="43">
        <v>21815.98</v>
      </c>
      <c r="F15" s="170">
        <f>D15-C15</f>
        <v>0</v>
      </c>
      <c r="G15" s="83">
        <v>34189.870000000003</v>
      </c>
      <c r="H15" s="18">
        <v>31883.67</v>
      </c>
      <c r="I15" s="43">
        <v>2712.03</v>
      </c>
      <c r="J15" s="19">
        <f>H15-G15</f>
        <v>-2306.2000000000044</v>
      </c>
      <c r="K15" s="17">
        <v>34189.870000000003</v>
      </c>
      <c r="L15" s="18">
        <v>31883.61</v>
      </c>
      <c r="M15" s="43">
        <v>27371.16</v>
      </c>
      <c r="N15" s="25">
        <f t="shared" si="28"/>
        <v>-2306.260000000002</v>
      </c>
      <c r="O15" s="17">
        <f t="shared" si="17"/>
        <v>68379.740000000005</v>
      </c>
      <c r="P15" s="43">
        <f t="shared" si="19"/>
        <v>63767.28</v>
      </c>
      <c r="Q15" s="43">
        <f t="shared" si="19"/>
        <v>51899.17</v>
      </c>
      <c r="R15" s="19">
        <f>P15-O15</f>
        <v>-4612.4600000000064</v>
      </c>
      <c r="S15" s="17">
        <v>34189.870000000003</v>
      </c>
      <c r="T15" s="18">
        <v>31883.74</v>
      </c>
      <c r="U15" s="43">
        <v>28066.28</v>
      </c>
      <c r="V15" s="19">
        <f>T15-S15</f>
        <v>-2306.130000000001</v>
      </c>
      <c r="W15" s="17">
        <v>34189.870000000003</v>
      </c>
      <c r="X15" s="18">
        <v>31883.95</v>
      </c>
      <c r="Y15" s="37">
        <v>28678.1</v>
      </c>
      <c r="Z15" s="18">
        <f>X15-W15</f>
        <v>-2305.9200000000019</v>
      </c>
      <c r="AA15" s="17">
        <v>34189.870000000003</v>
      </c>
      <c r="AB15" s="18">
        <v>31883.919999999998</v>
      </c>
      <c r="AC15" s="199">
        <v>29640.03</v>
      </c>
      <c r="AD15" s="19">
        <f t="shared" si="29"/>
        <v>-2305.9500000000044</v>
      </c>
      <c r="AE15" s="17">
        <f t="shared" si="20"/>
        <v>102569.61000000002</v>
      </c>
      <c r="AF15" s="18">
        <f t="shared" si="20"/>
        <v>95651.61</v>
      </c>
      <c r="AG15" s="18">
        <f t="shared" si="20"/>
        <v>86384.41</v>
      </c>
      <c r="AH15" s="19">
        <f>AF15-AE15</f>
        <v>-6918.0000000000146</v>
      </c>
      <c r="AI15" s="17">
        <f t="shared" si="21"/>
        <v>170949.35000000003</v>
      </c>
      <c r="AJ15" s="43">
        <f t="shared" si="21"/>
        <v>159418.89000000001</v>
      </c>
      <c r="AK15" s="18">
        <f t="shared" si="21"/>
        <v>138283.58000000002</v>
      </c>
      <c r="AL15" s="19">
        <f>AJ15-AI15</f>
        <v>-11530.460000000021</v>
      </c>
      <c r="AM15" s="17">
        <v>34189.870000000003</v>
      </c>
      <c r="AN15" s="18">
        <v>31885.200000000001</v>
      </c>
      <c r="AO15" s="43">
        <v>30515.77</v>
      </c>
      <c r="AP15" s="20">
        <f>AN15-AM15</f>
        <v>-2304.6700000000019</v>
      </c>
      <c r="AQ15" s="17">
        <v>34189.870000000003</v>
      </c>
      <c r="AR15" s="18">
        <v>31885.25</v>
      </c>
      <c r="AS15" s="43">
        <v>30085.51</v>
      </c>
      <c r="AT15" s="20">
        <f>AR15-AQ15</f>
        <v>-2304.6200000000026</v>
      </c>
      <c r="AU15" s="17">
        <v>34189.870000000003</v>
      </c>
      <c r="AV15" s="18">
        <v>31885.62</v>
      </c>
      <c r="AW15" s="43">
        <v>30142.79</v>
      </c>
      <c r="AX15" s="20">
        <f>AV15-AU15</f>
        <v>-2304.2500000000036</v>
      </c>
      <c r="AY15" s="17">
        <f t="shared" si="22"/>
        <v>102569.61000000002</v>
      </c>
      <c r="AZ15" s="18">
        <f t="shared" si="22"/>
        <v>95656.069999999992</v>
      </c>
      <c r="BA15" s="18">
        <f t="shared" si="22"/>
        <v>90744.07</v>
      </c>
      <c r="BB15" s="19">
        <f>AZ15-AY15</f>
        <v>-6913.5400000000227</v>
      </c>
      <c r="BC15" s="190">
        <f t="shared" si="23"/>
        <v>273518.96000000008</v>
      </c>
      <c r="BD15" s="84">
        <f t="shared" si="23"/>
        <v>255074.96000000002</v>
      </c>
      <c r="BE15" s="84">
        <f t="shared" si="23"/>
        <v>229027.65000000002</v>
      </c>
      <c r="BF15" s="170">
        <f>BD15-BC15</f>
        <v>-18444.000000000058</v>
      </c>
      <c r="BG15" s="17">
        <v>34189.870000000003</v>
      </c>
      <c r="BH15" s="18">
        <v>31885.48</v>
      </c>
      <c r="BI15" s="43">
        <v>30391.14</v>
      </c>
      <c r="BJ15" s="41">
        <f t="shared" si="30"/>
        <v>-2304.3900000000031</v>
      </c>
      <c r="BK15" s="17">
        <v>34189.870000000003</v>
      </c>
      <c r="BL15" s="43">
        <f>31885.31</f>
        <v>31885.31</v>
      </c>
      <c r="BM15" s="43">
        <v>29316.85</v>
      </c>
      <c r="BN15" s="41">
        <f>BL15-BK15</f>
        <v>-2304.5600000000013</v>
      </c>
      <c r="BO15" s="17">
        <v>34189.870000000003</v>
      </c>
      <c r="BP15" s="43">
        <v>31885.21</v>
      </c>
      <c r="BQ15" s="43">
        <v>31655.89</v>
      </c>
      <c r="BR15" s="41">
        <f>BP15-BO15</f>
        <v>-2304.6600000000035</v>
      </c>
      <c r="BS15" s="17">
        <f t="shared" si="24"/>
        <v>102569.61000000002</v>
      </c>
      <c r="BT15" s="18">
        <f t="shared" si="24"/>
        <v>95656</v>
      </c>
      <c r="BU15" s="18">
        <f t="shared" si="24"/>
        <v>91363.88</v>
      </c>
      <c r="BV15" s="20">
        <f>BT15-BS15</f>
        <v>-6913.6100000000151</v>
      </c>
      <c r="BW15" s="17">
        <f t="shared" si="25"/>
        <v>205139.22000000003</v>
      </c>
      <c r="BX15" s="18">
        <f t="shared" si="25"/>
        <v>191312.07</v>
      </c>
      <c r="BY15" s="18">
        <f t="shared" si="25"/>
        <v>182107.95</v>
      </c>
      <c r="BZ15" s="20">
        <f>BX15-BW15</f>
        <v>-13827.150000000023</v>
      </c>
      <c r="CA15" s="17">
        <f t="shared" si="26"/>
        <v>376088.57000000007</v>
      </c>
      <c r="CB15" s="18">
        <f t="shared" si="26"/>
        <v>350730.96</v>
      </c>
      <c r="CC15" s="18">
        <f t="shared" si="26"/>
        <v>320391.53000000003</v>
      </c>
      <c r="CD15" s="20">
        <f>CB15-CA15</f>
        <v>-25357.610000000044</v>
      </c>
      <c r="CF15" s="3"/>
      <c r="CJ15" s="91">
        <f t="shared" si="27"/>
        <v>102569.61000000002</v>
      </c>
      <c r="CK15" s="91">
        <f t="shared" si="27"/>
        <v>95656</v>
      </c>
      <c r="CL15" s="91">
        <f t="shared" si="27"/>
        <v>91363.88</v>
      </c>
      <c r="CM15" s="91">
        <f t="shared" si="27"/>
        <v>-6913.6100000000079</v>
      </c>
      <c r="CN15" s="91">
        <f t="shared" si="15"/>
        <v>376088.57000000007</v>
      </c>
      <c r="CO15" s="91">
        <f t="shared" si="15"/>
        <v>350730.96</v>
      </c>
      <c r="CP15" s="91">
        <f t="shared" si="15"/>
        <v>320391.53000000003</v>
      </c>
      <c r="CQ15" s="91">
        <f t="shared" si="15"/>
        <v>-25357.610000000052</v>
      </c>
    </row>
    <row r="16" spans="1:95" ht="16.5" x14ac:dyDescent="0.3">
      <c r="A16" s="9"/>
      <c r="B16" s="26" t="s">
        <v>151</v>
      </c>
      <c r="C16" s="174">
        <v>151409.32</v>
      </c>
      <c r="D16" s="18">
        <v>151432.21</v>
      </c>
      <c r="E16" s="43">
        <v>140468.51999999999</v>
      </c>
      <c r="F16" s="170">
        <f t="shared" ref="F16:F31" si="31">D16-C16</f>
        <v>22.889999999984866</v>
      </c>
      <c r="G16" s="83">
        <v>151409.32</v>
      </c>
      <c r="H16" s="18">
        <v>151424.46</v>
      </c>
      <c r="I16" s="43">
        <v>156360.9</v>
      </c>
      <c r="J16" s="19">
        <f t="shared" ref="J16:J31" si="32">H16-G16</f>
        <v>15.139999999984866</v>
      </c>
      <c r="K16" s="17">
        <v>151409.32</v>
      </c>
      <c r="L16" s="18">
        <v>151423.10999999999</v>
      </c>
      <c r="M16" s="43">
        <v>141580.6</v>
      </c>
      <c r="N16" s="25">
        <f t="shared" si="28"/>
        <v>13.789999999979045</v>
      </c>
      <c r="O16" s="17">
        <f t="shared" si="17"/>
        <v>454227.96</v>
      </c>
      <c r="P16" s="43">
        <f t="shared" si="19"/>
        <v>454279.77999999991</v>
      </c>
      <c r="Q16" s="43">
        <f t="shared" si="19"/>
        <v>438410.02</v>
      </c>
      <c r="R16" s="19">
        <f t="shared" ref="R16:R31" si="33">P16-O16</f>
        <v>51.81999999989057</v>
      </c>
      <c r="S16" s="17">
        <v>151409.32</v>
      </c>
      <c r="T16" s="18">
        <v>151423.10999999999</v>
      </c>
      <c r="U16" s="43">
        <v>154300.15</v>
      </c>
      <c r="V16" s="19">
        <f t="shared" ref="V16:V31" si="34">T16-S16</f>
        <v>13.789999999979045</v>
      </c>
      <c r="W16" s="17">
        <v>151409.32</v>
      </c>
      <c r="X16" s="18">
        <v>151423.10999999999</v>
      </c>
      <c r="Y16" s="37">
        <v>144457.65</v>
      </c>
      <c r="Z16" s="18">
        <f t="shared" ref="Z16:Z50" si="35">X16-W16</f>
        <v>13.789999999979045</v>
      </c>
      <c r="AA16" s="17">
        <v>151409.32</v>
      </c>
      <c r="AB16" s="18">
        <v>151423.10999999999</v>
      </c>
      <c r="AC16" s="199">
        <v>157025.76999999999</v>
      </c>
      <c r="AD16" s="19">
        <f t="shared" si="29"/>
        <v>13.789999999979045</v>
      </c>
      <c r="AE16" s="17">
        <f t="shared" si="20"/>
        <v>454227.96</v>
      </c>
      <c r="AF16" s="18">
        <f t="shared" si="20"/>
        <v>454269.32999999996</v>
      </c>
      <c r="AG16" s="18">
        <f t="shared" si="20"/>
        <v>455783.56999999995</v>
      </c>
      <c r="AH16" s="19">
        <f t="shared" ref="AH16:AH50" si="36">AF16-AE16</f>
        <v>41.369999999937136</v>
      </c>
      <c r="AI16" s="17">
        <f t="shared" si="21"/>
        <v>908455.92</v>
      </c>
      <c r="AJ16" s="43">
        <f t="shared" si="21"/>
        <v>908549.10999999987</v>
      </c>
      <c r="AK16" s="18">
        <f t="shared" si="21"/>
        <v>894193.59</v>
      </c>
      <c r="AL16" s="19">
        <f t="shared" ref="AL16:AL29" si="37">AJ16-AI16</f>
        <v>93.189999999827705</v>
      </c>
      <c r="AM16" s="17">
        <v>151409.32</v>
      </c>
      <c r="AN16" s="18">
        <v>151423.10999999999</v>
      </c>
      <c r="AO16" s="43">
        <v>158010.01</v>
      </c>
      <c r="AP16" s="20">
        <f t="shared" ref="AP16:AP29" si="38">AN16-AM16</f>
        <v>13.789999999979045</v>
      </c>
      <c r="AQ16" s="17">
        <v>151409.32</v>
      </c>
      <c r="AR16" s="18">
        <v>151420.07999999999</v>
      </c>
      <c r="AS16" s="43">
        <v>143849.07999999999</v>
      </c>
      <c r="AT16" s="20">
        <f t="shared" ref="AT16:AT29" si="39">AR16-AQ16</f>
        <v>10.759999999980209</v>
      </c>
      <c r="AU16" s="17">
        <v>151409.32</v>
      </c>
      <c r="AV16" s="18">
        <v>151420.07999999999</v>
      </c>
      <c r="AW16" s="43">
        <v>156719.78</v>
      </c>
      <c r="AX16" s="20">
        <f t="shared" ref="AX16:AX29" si="40">AV16-AU16</f>
        <v>10.759999999980209</v>
      </c>
      <c r="AY16" s="17">
        <f t="shared" si="22"/>
        <v>454227.96</v>
      </c>
      <c r="AZ16" s="18">
        <f t="shared" si="22"/>
        <v>454263.2699999999</v>
      </c>
      <c r="BA16" s="18">
        <f t="shared" si="22"/>
        <v>458578.87</v>
      </c>
      <c r="BB16" s="19">
        <f t="shared" ref="BB16:BB29" si="41">AZ16-AY16</f>
        <v>35.309999999881256</v>
      </c>
      <c r="BC16" s="190">
        <f t="shared" si="23"/>
        <v>1362683.8800000001</v>
      </c>
      <c r="BD16" s="84">
        <f t="shared" si="23"/>
        <v>1362812.38</v>
      </c>
      <c r="BE16" s="84">
        <f t="shared" si="23"/>
        <v>1352772.46</v>
      </c>
      <c r="BF16" s="170">
        <f t="shared" ref="BF16:BF50" si="42">BD16-BC16</f>
        <v>128.49999999976717</v>
      </c>
      <c r="BG16" s="17">
        <v>151409.32</v>
      </c>
      <c r="BH16" s="18">
        <v>151407.19</v>
      </c>
      <c r="BI16" s="43">
        <v>153375.48000000001</v>
      </c>
      <c r="BJ16" s="41">
        <f t="shared" si="30"/>
        <v>-2.1300000000046566</v>
      </c>
      <c r="BK16" s="17">
        <v>151409.32</v>
      </c>
      <c r="BL16" s="43">
        <v>151407.19</v>
      </c>
      <c r="BM16" s="43">
        <v>149893.12</v>
      </c>
      <c r="BN16" s="41">
        <f t="shared" ref="BN16:BN50" si="43">BL16-BK16</f>
        <v>-2.1300000000046566</v>
      </c>
      <c r="BO16" s="17">
        <v>151409.32</v>
      </c>
      <c r="BP16" s="43">
        <f>151409.46</f>
        <v>151409.46</v>
      </c>
      <c r="BQ16" s="43">
        <v>157163.01999999999</v>
      </c>
      <c r="BR16" s="41">
        <f t="shared" ref="BR16:BR50" si="44">BP16-BO16</f>
        <v>0.13999999998486601</v>
      </c>
      <c r="BS16" s="17">
        <f t="shared" si="24"/>
        <v>454227.96</v>
      </c>
      <c r="BT16" s="18">
        <f t="shared" si="24"/>
        <v>454223.83999999997</v>
      </c>
      <c r="BU16" s="18">
        <f t="shared" si="24"/>
        <v>460431.62</v>
      </c>
      <c r="BV16" s="20">
        <f t="shared" ref="BV16:BV50" si="45">BT16-BS16</f>
        <v>-4.120000000053551</v>
      </c>
      <c r="BW16" s="17">
        <f t="shared" si="25"/>
        <v>908455.92</v>
      </c>
      <c r="BX16" s="18">
        <f t="shared" si="25"/>
        <v>908487.10999999987</v>
      </c>
      <c r="BY16" s="18">
        <f t="shared" si="25"/>
        <v>919010.49</v>
      </c>
      <c r="BZ16" s="20">
        <f t="shared" ref="BZ16:BZ50" si="46">BX16-BW16</f>
        <v>31.189999999827705</v>
      </c>
      <c r="CA16" s="17">
        <f t="shared" si="26"/>
        <v>1816911.84</v>
      </c>
      <c r="CB16" s="18">
        <f t="shared" si="26"/>
        <v>1817036.2199999997</v>
      </c>
      <c r="CC16" s="18">
        <f t="shared" si="26"/>
        <v>1813204.08</v>
      </c>
      <c r="CD16" s="20">
        <f t="shared" ref="CD16:CD37" si="47">CB16-CA16</f>
        <v>124.37999999965541</v>
      </c>
      <c r="CF16" s="3"/>
      <c r="CJ16" s="91">
        <f t="shared" si="27"/>
        <v>454227.96</v>
      </c>
      <c r="CK16" s="91">
        <f t="shared" si="27"/>
        <v>454223.83999999997</v>
      </c>
      <c r="CL16" s="91">
        <f t="shared" si="27"/>
        <v>460431.62</v>
      </c>
      <c r="CM16" s="91">
        <f t="shared" si="27"/>
        <v>-4.1200000000244472</v>
      </c>
      <c r="CN16" s="91">
        <f t="shared" si="15"/>
        <v>1816911.84</v>
      </c>
      <c r="CO16" s="91">
        <f t="shared" si="15"/>
        <v>1817036.2199999997</v>
      </c>
      <c r="CP16" s="91">
        <f t="shared" si="15"/>
        <v>1813204.08</v>
      </c>
      <c r="CQ16" s="91">
        <f t="shared" si="15"/>
        <v>124.37999999968451</v>
      </c>
    </row>
    <row r="17" spans="1:95" ht="16.5" x14ac:dyDescent="0.3">
      <c r="A17" s="9"/>
      <c r="B17" s="28" t="s">
        <v>33</v>
      </c>
      <c r="C17" s="174">
        <v>2478906.35</v>
      </c>
      <c r="D17" s="18">
        <v>2478897.7999999998</v>
      </c>
      <c r="E17" s="92">
        <f>2066751.5+8869.07</f>
        <v>2075620.57</v>
      </c>
      <c r="F17" s="170">
        <f t="shared" si="31"/>
        <v>-8.5500000002793968</v>
      </c>
      <c r="G17" s="83">
        <v>2478906.35</v>
      </c>
      <c r="H17" s="18">
        <f>2478914.33</f>
        <v>2478914.33</v>
      </c>
      <c r="I17" s="43">
        <f>2322774.09+3724.5+1509.97+2133.25+5670.33-2962.88+10000</f>
        <v>2342849.2600000002</v>
      </c>
      <c r="J17" s="19">
        <f t="shared" si="32"/>
        <v>7.9799999999813735</v>
      </c>
      <c r="K17" s="17">
        <v>2478906.35</v>
      </c>
      <c r="L17" s="18">
        <v>2478903.77</v>
      </c>
      <c r="M17" s="43">
        <f>2421930.56+33592.96+1850.94+739.67+1659.47+82.97</f>
        <v>2459856.5700000003</v>
      </c>
      <c r="N17" s="25">
        <f t="shared" si="28"/>
        <v>-2.5800000000745058</v>
      </c>
      <c r="O17" s="17">
        <f t="shared" si="17"/>
        <v>7436719.0500000007</v>
      </c>
      <c r="P17" s="43">
        <f t="shared" si="19"/>
        <v>7436715.8999999994</v>
      </c>
      <c r="Q17" s="43">
        <f t="shared" si="19"/>
        <v>6878326.4000000004</v>
      </c>
      <c r="R17" s="19">
        <f t="shared" si="33"/>
        <v>-3.1500000013038516</v>
      </c>
      <c r="S17" s="17">
        <v>2478906.35</v>
      </c>
      <c r="T17" s="18">
        <v>2478916.7200000002</v>
      </c>
      <c r="U17" s="43">
        <f>2413941.23+22946.91+2542.83+1813.39+2867.88-11365.92</f>
        <v>2432746.3200000003</v>
      </c>
      <c r="V17" s="19">
        <f t="shared" si="34"/>
        <v>10.370000000111759</v>
      </c>
      <c r="W17" s="17">
        <v>2478906.35</v>
      </c>
      <c r="X17" s="18">
        <v>2478942.27</v>
      </c>
      <c r="Y17" s="37">
        <f>2370514.96+16769.88+1810.25</f>
        <v>2389095.09</v>
      </c>
      <c r="Z17" s="18">
        <f t="shared" si="35"/>
        <v>35.919999999925494</v>
      </c>
      <c r="AA17" s="17">
        <v>2478906.35</v>
      </c>
      <c r="AB17" s="18">
        <v>2478950.0099999998</v>
      </c>
      <c r="AC17" s="199">
        <f>2458980.14+12387.98+882.16+1100.93+2966.01+3500+4000</f>
        <v>2483817.2200000002</v>
      </c>
      <c r="AD17" s="19">
        <f t="shared" si="29"/>
        <v>43.65999999968335</v>
      </c>
      <c r="AE17" s="17">
        <f t="shared" si="20"/>
        <v>7436719.0500000007</v>
      </c>
      <c r="AF17" s="18">
        <f t="shared" si="20"/>
        <v>7436809</v>
      </c>
      <c r="AG17" s="18">
        <f t="shared" si="20"/>
        <v>7305658.6300000008</v>
      </c>
      <c r="AH17" s="19">
        <f t="shared" si="36"/>
        <v>89.949999999254942</v>
      </c>
      <c r="AI17" s="17">
        <f t="shared" si="21"/>
        <v>14873438.100000001</v>
      </c>
      <c r="AJ17" s="43">
        <f t="shared" si="21"/>
        <v>14873524.899999999</v>
      </c>
      <c r="AK17" s="43">
        <f t="shared" si="21"/>
        <v>14183985.030000001</v>
      </c>
      <c r="AL17" s="19">
        <f t="shared" si="37"/>
        <v>86.799999997019768</v>
      </c>
      <c r="AM17" s="17">
        <v>2478906.35</v>
      </c>
      <c r="AN17" s="18">
        <v>2478968.11</v>
      </c>
      <c r="AO17" s="43">
        <f>1748.06+2519381.14+12755.58+8427.8+886.75+2842.97+22.23</f>
        <v>2546064.5300000003</v>
      </c>
      <c r="AP17" s="20">
        <f t="shared" si="38"/>
        <v>61.759999999776483</v>
      </c>
      <c r="AQ17" s="17">
        <v>2478906.35</v>
      </c>
      <c r="AR17" s="18">
        <v>2478987.69</v>
      </c>
      <c r="AS17" s="43">
        <v>2483018.4</v>
      </c>
      <c r="AT17" s="20">
        <f t="shared" si="39"/>
        <v>81.339999999850988</v>
      </c>
      <c r="AU17" s="17">
        <v>2478906.35</v>
      </c>
      <c r="AV17" s="18">
        <v>2479008.11</v>
      </c>
      <c r="AW17" s="43">
        <f>2463357.37+26399.21+5390.17+1689.36+1689.22+170.38</f>
        <v>2498695.71</v>
      </c>
      <c r="AX17" s="20">
        <f t="shared" si="40"/>
        <v>101.75999999977648</v>
      </c>
      <c r="AY17" s="17">
        <f t="shared" si="22"/>
        <v>7436719.0500000007</v>
      </c>
      <c r="AZ17" s="18">
        <f t="shared" si="22"/>
        <v>7436963.9100000001</v>
      </c>
      <c r="BA17" s="18">
        <f t="shared" si="22"/>
        <v>7527778.6399999997</v>
      </c>
      <c r="BB17" s="19">
        <f t="shared" si="41"/>
        <v>244.85999999940395</v>
      </c>
      <c r="BC17" s="190">
        <f t="shared" si="23"/>
        <v>22310157.150000002</v>
      </c>
      <c r="BD17" s="84">
        <f t="shared" si="23"/>
        <v>22310488.809999999</v>
      </c>
      <c r="BE17" s="84">
        <f t="shared" si="23"/>
        <v>21711763.670000002</v>
      </c>
      <c r="BF17" s="170">
        <f t="shared" si="42"/>
        <v>331.65999999642372</v>
      </c>
      <c r="BG17" s="17">
        <v>2478906.35</v>
      </c>
      <c r="BH17" s="18">
        <v>2479001.86</v>
      </c>
      <c r="BI17" s="43">
        <f>2430658.27+4932.76+683.29+1286.65</f>
        <v>2437560.9699999997</v>
      </c>
      <c r="BJ17" s="41">
        <f t="shared" si="30"/>
        <v>95.509999999776483</v>
      </c>
      <c r="BK17" s="17">
        <v>2478906.35</v>
      </c>
      <c r="BL17" s="43">
        <f>2478983.25</f>
        <v>2478983.25</v>
      </c>
      <c r="BM17" s="43">
        <f>2358619.72+5485.35+17740.09</f>
        <v>2381845.16</v>
      </c>
      <c r="BN17" s="41">
        <f t="shared" si="43"/>
        <v>76.899999999906868</v>
      </c>
      <c r="BO17" s="17">
        <v>2478906.35</v>
      </c>
      <c r="BP17" s="43">
        <v>2478962.36</v>
      </c>
      <c r="BQ17" s="43">
        <f>2560518.73+34158.9+1325.76+2446.72+3985.38+1328.47+2195.75+207.62</f>
        <v>2606167.33</v>
      </c>
      <c r="BR17" s="41">
        <f t="shared" si="44"/>
        <v>56.009999999776483</v>
      </c>
      <c r="BS17" s="17">
        <f t="shared" si="24"/>
        <v>7436719.0500000007</v>
      </c>
      <c r="BT17" s="18">
        <f t="shared" si="24"/>
        <v>7436947.4699999988</v>
      </c>
      <c r="BU17" s="18">
        <f t="shared" si="24"/>
        <v>7425573.46</v>
      </c>
      <c r="BV17" s="20">
        <f t="shared" si="45"/>
        <v>228.41999999806285</v>
      </c>
      <c r="BW17" s="17">
        <f t="shared" si="25"/>
        <v>14873438.100000001</v>
      </c>
      <c r="BX17" s="18">
        <f t="shared" si="25"/>
        <v>14873911.379999999</v>
      </c>
      <c r="BY17" s="18">
        <f t="shared" si="25"/>
        <v>14953352.1</v>
      </c>
      <c r="BZ17" s="20">
        <f t="shared" si="46"/>
        <v>473.2799999974668</v>
      </c>
      <c r="CA17" s="17">
        <f t="shared" si="26"/>
        <v>29746876.200000003</v>
      </c>
      <c r="CB17" s="18">
        <f t="shared" si="26"/>
        <v>29747436.279999997</v>
      </c>
      <c r="CC17" s="18">
        <f t="shared" si="26"/>
        <v>29137337.130000003</v>
      </c>
      <c r="CD17" s="20">
        <f t="shared" si="47"/>
        <v>560.07999999448657</v>
      </c>
      <c r="CF17" s="3"/>
      <c r="CJ17" s="91">
        <f t="shared" si="27"/>
        <v>7436719.0500000007</v>
      </c>
      <c r="CK17" s="91">
        <f t="shared" si="27"/>
        <v>7436947.4699999988</v>
      </c>
      <c r="CL17" s="91">
        <f t="shared" si="27"/>
        <v>7425573.46</v>
      </c>
      <c r="CM17" s="91">
        <f t="shared" si="27"/>
        <v>228.41999999945983</v>
      </c>
      <c r="CN17" s="91">
        <f t="shared" si="15"/>
        <v>29746876.200000003</v>
      </c>
      <c r="CO17" s="91">
        <f t="shared" si="15"/>
        <v>29747436.279999997</v>
      </c>
      <c r="CP17" s="91">
        <f t="shared" si="15"/>
        <v>29137337.130000003</v>
      </c>
      <c r="CQ17" s="91">
        <f t="shared" si="15"/>
        <v>560.07999999681488</v>
      </c>
    </row>
    <row r="18" spans="1:95" ht="16.5" x14ac:dyDescent="0.3">
      <c r="A18" s="9"/>
      <c r="B18" s="28" t="s">
        <v>34</v>
      </c>
      <c r="C18" s="174">
        <v>533776.32999999996</v>
      </c>
      <c r="D18" s="18">
        <f>685228.84-151432.21</f>
        <v>533796.63</v>
      </c>
      <c r="E18" s="92">
        <f>617708.63+17975.14-E16</f>
        <v>495215.25</v>
      </c>
      <c r="F18" s="170">
        <f t="shared" si="31"/>
        <v>20.300000000046566</v>
      </c>
      <c r="G18" s="83">
        <v>533776.32999999996</v>
      </c>
      <c r="H18" s="18">
        <f>685249.72-151424.46</f>
        <v>533825.26</v>
      </c>
      <c r="I18" s="43">
        <f>690338.62+17263.52-156360.9</f>
        <v>551241.24</v>
      </c>
      <c r="J18" s="19">
        <f t="shared" si="32"/>
        <v>48.930000000051223</v>
      </c>
      <c r="K18" s="17">
        <v>533776.32999999996</v>
      </c>
      <c r="L18" s="18">
        <f>685248.9-151423.11</f>
        <v>533825.79</v>
      </c>
      <c r="M18" s="43">
        <f>640907.78-141580.6</f>
        <v>499327.18000000005</v>
      </c>
      <c r="N18" s="25">
        <f t="shared" si="28"/>
        <v>49.460000000079162</v>
      </c>
      <c r="O18" s="17">
        <f t="shared" si="17"/>
        <v>1601328.9899999998</v>
      </c>
      <c r="P18" s="43">
        <f t="shared" si="19"/>
        <v>1601447.6800000002</v>
      </c>
      <c r="Q18" s="43">
        <f t="shared" si="19"/>
        <v>1545783.67</v>
      </c>
      <c r="R18" s="19">
        <f t="shared" si="33"/>
        <v>118.69000000040978</v>
      </c>
      <c r="S18" s="17">
        <v>533776.32999999996</v>
      </c>
      <c r="T18" s="18">
        <f>685248.9-T16</f>
        <v>533825.79</v>
      </c>
      <c r="U18" s="43">
        <f>685841.78+12433.04-U16</f>
        <v>543974.67000000004</v>
      </c>
      <c r="V18" s="19">
        <f t="shared" si="34"/>
        <v>49.460000000079162</v>
      </c>
      <c r="W18" s="17">
        <v>533776.32999999996</v>
      </c>
      <c r="X18" s="18">
        <f>685248.5-X16</f>
        <v>533825.39</v>
      </c>
      <c r="Y18" s="37">
        <f>653992.91-Y16</f>
        <v>509535.26</v>
      </c>
      <c r="Z18" s="18">
        <f t="shared" si="35"/>
        <v>49.060000000055879</v>
      </c>
      <c r="AA18" s="17">
        <v>533776.32999999996</v>
      </c>
      <c r="AB18" s="18">
        <f>685249.53-AB16</f>
        <v>533826.42000000004</v>
      </c>
      <c r="AC18" s="199">
        <f>709674.22+920.75+2.9-AC16</f>
        <v>553572.1</v>
      </c>
      <c r="AD18" s="19">
        <f t="shared" si="29"/>
        <v>50.090000000083819</v>
      </c>
      <c r="AE18" s="17">
        <f t="shared" si="20"/>
        <v>1601328.9899999998</v>
      </c>
      <c r="AF18" s="18">
        <f t="shared" si="20"/>
        <v>1601477.6</v>
      </c>
      <c r="AG18" s="18">
        <f t="shared" si="20"/>
        <v>1607082.0300000003</v>
      </c>
      <c r="AH18" s="19">
        <f t="shared" si="36"/>
        <v>148.61000000033528</v>
      </c>
      <c r="AI18" s="17">
        <f t="shared" si="21"/>
        <v>3202657.9799999995</v>
      </c>
      <c r="AJ18" s="43">
        <f t="shared" si="21"/>
        <v>3202925.2800000003</v>
      </c>
      <c r="AK18" s="43">
        <f t="shared" si="21"/>
        <v>3152865.7</v>
      </c>
      <c r="AL18" s="19">
        <f t="shared" si="37"/>
        <v>267.30000000074506</v>
      </c>
      <c r="AM18" s="17">
        <v>533776.32999999996</v>
      </c>
      <c r="AN18" s="18">
        <f>685249.27-AN16</f>
        <v>533826.16</v>
      </c>
      <c r="AO18" s="199">
        <f>706132.69+4400.86+4508.9-AO16</f>
        <v>557032.43999999994</v>
      </c>
      <c r="AP18" s="20">
        <f t="shared" si="38"/>
        <v>49.830000000074506</v>
      </c>
      <c r="AQ18" s="17">
        <v>533776.32999999996</v>
      </c>
      <c r="AR18" s="18">
        <f>685249.27-AR16</f>
        <v>533829.19000000006</v>
      </c>
      <c r="AS18" s="43">
        <f>652341.13-AS16</f>
        <v>508492.05000000005</v>
      </c>
      <c r="AT18" s="20">
        <f t="shared" si="39"/>
        <v>52.860000000102445</v>
      </c>
      <c r="AU18" s="17">
        <v>533776.32999999996</v>
      </c>
      <c r="AV18" s="18">
        <f>685263.59-AV16</f>
        <v>533843.51</v>
      </c>
      <c r="AW18" s="43">
        <f>702912.92+5800.73+811.24-AW16</f>
        <v>552805.11</v>
      </c>
      <c r="AX18" s="20">
        <f t="shared" si="40"/>
        <v>67.180000000051223</v>
      </c>
      <c r="AY18" s="17">
        <f t="shared" si="22"/>
        <v>1601328.9899999998</v>
      </c>
      <c r="AZ18" s="18">
        <f t="shared" si="22"/>
        <v>1601498.86</v>
      </c>
      <c r="BA18" s="18">
        <f t="shared" si="22"/>
        <v>1618329.6000000001</v>
      </c>
      <c r="BB18" s="19">
        <f t="shared" si="41"/>
        <v>169.87000000034459</v>
      </c>
      <c r="BC18" s="190">
        <f t="shared" si="23"/>
        <v>4803986.9699999988</v>
      </c>
      <c r="BD18" s="84">
        <f t="shared" si="23"/>
        <v>4804424.1400000006</v>
      </c>
      <c r="BE18" s="84">
        <f t="shared" si="23"/>
        <v>4771195.3000000007</v>
      </c>
      <c r="BF18" s="170">
        <f t="shared" si="42"/>
        <v>437.17000000178814</v>
      </c>
      <c r="BG18" s="17">
        <v>533776.32999999996</v>
      </c>
      <c r="BH18" s="18">
        <f>685250.26+1349.59-BH16</f>
        <v>535192.65999999992</v>
      </c>
      <c r="BI18" s="43">
        <f>689148.32+6593.17-BI16</f>
        <v>542366.01</v>
      </c>
      <c r="BJ18" s="41">
        <f t="shared" si="30"/>
        <v>1416.3299999999581</v>
      </c>
      <c r="BK18" s="17">
        <v>533776.32999999996</v>
      </c>
      <c r="BL18" s="43">
        <f>685251.7-BL16</f>
        <v>533844.51</v>
      </c>
      <c r="BM18" s="43">
        <f>676901.69+1750.57-BM16</f>
        <v>528759.1399999999</v>
      </c>
      <c r="BN18" s="41">
        <f t="shared" si="43"/>
        <v>68.180000000051223</v>
      </c>
      <c r="BO18" s="17">
        <v>533776.32999999996</v>
      </c>
      <c r="BP18" s="43">
        <f>685273.61-BP16</f>
        <v>533864.15</v>
      </c>
      <c r="BQ18" s="43">
        <f>696463.96+14939.83-BQ16</f>
        <v>554240.7699999999</v>
      </c>
      <c r="BR18" s="41">
        <f t="shared" si="44"/>
        <v>87.820000000065193</v>
      </c>
      <c r="BS18" s="17">
        <f t="shared" si="24"/>
        <v>1601328.9899999998</v>
      </c>
      <c r="BT18" s="18">
        <f t="shared" si="24"/>
        <v>1602901.3199999998</v>
      </c>
      <c r="BU18" s="18">
        <f t="shared" si="24"/>
        <v>1625365.92</v>
      </c>
      <c r="BV18" s="20">
        <f t="shared" si="45"/>
        <v>1572.3300000000745</v>
      </c>
      <c r="BW18" s="17">
        <f t="shared" si="25"/>
        <v>3202657.9799999995</v>
      </c>
      <c r="BX18" s="18">
        <f t="shared" si="25"/>
        <v>3204400.1799999997</v>
      </c>
      <c r="BY18" s="18">
        <f t="shared" si="25"/>
        <v>3243695.52</v>
      </c>
      <c r="BZ18" s="20">
        <f t="shared" si="46"/>
        <v>1742.2000000001863</v>
      </c>
      <c r="CA18" s="17">
        <f t="shared" si="26"/>
        <v>6405315.959999999</v>
      </c>
      <c r="CB18" s="18">
        <f t="shared" si="26"/>
        <v>6407325.46</v>
      </c>
      <c r="CC18" s="18">
        <f t="shared" si="26"/>
        <v>6396561.2200000007</v>
      </c>
      <c r="CD18" s="20">
        <f t="shared" si="47"/>
        <v>2009.5000000009313</v>
      </c>
      <c r="CF18" s="3"/>
      <c r="CH18" s="3"/>
      <c r="CJ18" s="91">
        <f t="shared" si="27"/>
        <v>1601328.9899999998</v>
      </c>
      <c r="CK18" s="91">
        <f t="shared" si="27"/>
        <v>1602901.3199999998</v>
      </c>
      <c r="CL18" s="91">
        <f t="shared" si="27"/>
        <v>1625365.92</v>
      </c>
      <c r="CM18" s="91">
        <f t="shared" si="27"/>
        <v>1572.3300000000745</v>
      </c>
      <c r="CN18" s="91">
        <f t="shared" si="15"/>
        <v>6405315.959999999</v>
      </c>
      <c r="CO18" s="91">
        <f t="shared" si="15"/>
        <v>6407325.4600000009</v>
      </c>
      <c r="CP18" s="91">
        <f t="shared" si="15"/>
        <v>6396561.2200000007</v>
      </c>
      <c r="CQ18" s="91">
        <f t="shared" si="15"/>
        <v>2009.5000000011642</v>
      </c>
    </row>
    <row r="19" spans="1:95" ht="16.5" x14ac:dyDescent="0.3">
      <c r="A19" s="9"/>
      <c r="B19" s="28" t="s">
        <v>35</v>
      </c>
      <c r="C19" s="174">
        <v>154048.31</v>
      </c>
      <c r="D19" s="18">
        <f>64999.01+31768.19+57268.53</f>
        <v>154035.72999999998</v>
      </c>
      <c r="E19" s="92">
        <f>2466.52+42589.31+19788.17+51516.22-6497.45</f>
        <v>109862.77</v>
      </c>
      <c r="F19" s="170">
        <f t="shared" si="31"/>
        <v>-12.580000000016298</v>
      </c>
      <c r="G19" s="83">
        <v>154048.31</v>
      </c>
      <c r="H19" s="18">
        <f>64998.57+31768.02+57218.74</f>
        <v>153985.32999999999</v>
      </c>
      <c r="I19" s="43">
        <f>50239.57+26597.08+63706.6</f>
        <v>140543.25</v>
      </c>
      <c r="J19" s="19">
        <f t="shared" si="32"/>
        <v>-62.980000000010477</v>
      </c>
      <c r="K19" s="17">
        <v>154048.31</v>
      </c>
      <c r="L19" s="18">
        <v>153985.93</v>
      </c>
      <c r="M19" s="43">
        <f>378.79+113959.29+81.31</f>
        <v>114419.38999999998</v>
      </c>
      <c r="N19" s="25">
        <f t="shared" si="28"/>
        <v>-62.380000000004657</v>
      </c>
      <c r="O19" s="17">
        <f t="shared" si="17"/>
        <v>462144.93</v>
      </c>
      <c r="P19" s="43">
        <f t="shared" si="19"/>
        <v>462006.99</v>
      </c>
      <c r="Q19" s="43">
        <f t="shared" si="19"/>
        <v>364825.41</v>
      </c>
      <c r="R19" s="19">
        <f t="shared" si="33"/>
        <v>-137.94000000000233</v>
      </c>
      <c r="S19" s="17">
        <v>154048.31</v>
      </c>
      <c r="T19" s="18">
        <f>96767.72+57218.48</f>
        <v>153986.20000000001</v>
      </c>
      <c r="U19" s="43">
        <f>77005.27+56703.3+335.4</f>
        <v>134043.97</v>
      </c>
      <c r="V19" s="19">
        <f t="shared" si="34"/>
        <v>-62.10999999998603</v>
      </c>
      <c r="W19" s="17">
        <v>154048.31</v>
      </c>
      <c r="X19" s="18">
        <v>153986.20000000001</v>
      </c>
      <c r="Y19" s="37">
        <v>123313.24</v>
      </c>
      <c r="Z19" s="18">
        <f t="shared" si="35"/>
        <v>-62.10999999998603</v>
      </c>
      <c r="AA19" s="17">
        <v>154048.31</v>
      </c>
      <c r="AB19" s="18">
        <v>153981.21</v>
      </c>
      <c r="AC19" s="199">
        <f>1094.63+1101.24+119380.77+927.87+1541.49+958.56</f>
        <v>125004.56</v>
      </c>
      <c r="AD19" s="19">
        <f t="shared" si="29"/>
        <v>-67.100000000005821</v>
      </c>
      <c r="AE19" s="17">
        <f t="shared" si="20"/>
        <v>462144.93</v>
      </c>
      <c r="AF19" s="18">
        <f t="shared" si="20"/>
        <v>461953.61</v>
      </c>
      <c r="AG19" s="18">
        <f t="shared" si="20"/>
        <v>382361.77</v>
      </c>
      <c r="AH19" s="19">
        <f t="shared" si="36"/>
        <v>-191.32000000000698</v>
      </c>
      <c r="AI19" s="17">
        <f t="shared" si="21"/>
        <v>924289.86</v>
      </c>
      <c r="AJ19" s="43">
        <f t="shared" si="21"/>
        <v>923960.6</v>
      </c>
      <c r="AK19" s="18">
        <f t="shared" si="21"/>
        <v>747187.17999999993</v>
      </c>
      <c r="AL19" s="19">
        <f t="shared" si="37"/>
        <v>-329.26000000000931</v>
      </c>
      <c r="AM19" s="17">
        <v>154048.31</v>
      </c>
      <c r="AN19" s="18">
        <f>65027.09+31763.9+57233.67</f>
        <v>154024.65999999997</v>
      </c>
      <c r="AO19" s="199">
        <f>25.38+4184.55+51988.57+25933.97+55927.03+2442.25</f>
        <v>140501.75</v>
      </c>
      <c r="AP19" s="20">
        <f t="shared" si="38"/>
        <v>-23.650000000023283</v>
      </c>
      <c r="AQ19" s="17">
        <v>154048.31</v>
      </c>
      <c r="AR19" s="18">
        <v>154024.66</v>
      </c>
      <c r="AS19" s="43">
        <v>152918.13</v>
      </c>
      <c r="AT19" s="20">
        <f t="shared" si="39"/>
        <v>-23.649999999994179</v>
      </c>
      <c r="AU19" s="17">
        <v>154048.31</v>
      </c>
      <c r="AV19" s="18">
        <f>65027.09+31763.9+57237.78</f>
        <v>154028.76999999999</v>
      </c>
      <c r="AW19" s="43">
        <f>3698.14+53996.03+22875.61+55332.96</f>
        <v>135902.74</v>
      </c>
      <c r="AX19" s="20">
        <f t="shared" si="40"/>
        <v>-19.540000000008149</v>
      </c>
      <c r="AY19" s="17">
        <f t="shared" si="22"/>
        <v>462144.93</v>
      </c>
      <c r="AZ19" s="18">
        <f t="shared" si="22"/>
        <v>462078.08999999997</v>
      </c>
      <c r="BA19" s="18">
        <f t="shared" si="22"/>
        <v>429322.62</v>
      </c>
      <c r="BB19" s="19">
        <f t="shared" si="41"/>
        <v>-66.840000000025611</v>
      </c>
      <c r="BC19" s="190">
        <f t="shared" si="23"/>
        <v>1386434.79</v>
      </c>
      <c r="BD19" s="84">
        <f t="shared" si="23"/>
        <v>1386038.69</v>
      </c>
      <c r="BE19" s="84">
        <f t="shared" si="23"/>
        <v>1176509.7999999998</v>
      </c>
      <c r="BF19" s="170">
        <f t="shared" si="42"/>
        <v>-396.10000000009313</v>
      </c>
      <c r="BG19" s="17">
        <v>154048.31</v>
      </c>
      <c r="BH19" s="18">
        <f>65027.09+31763.9+57237.78</f>
        <v>154028.76999999999</v>
      </c>
      <c r="BI19" s="43">
        <f>4413.14+50405.81+20575.35+54606.28</f>
        <v>130000.57999999999</v>
      </c>
      <c r="BJ19" s="41">
        <f t="shared" si="30"/>
        <v>-19.540000000008149</v>
      </c>
      <c r="BK19" s="17">
        <v>154048.31</v>
      </c>
      <c r="BL19" s="43">
        <f>65027.09+31763.9+57237.56</f>
        <v>154028.54999999999</v>
      </c>
      <c r="BM19" s="43">
        <f>645.94+44925.46+25620.7+48839.9</f>
        <v>120032</v>
      </c>
      <c r="BN19" s="41">
        <f t="shared" si="43"/>
        <v>-19.760000000009313</v>
      </c>
      <c r="BO19" s="17">
        <v>154048.31</v>
      </c>
      <c r="BP19" s="43">
        <f>65027.09+31763.9+57237.56</f>
        <v>154028.54999999999</v>
      </c>
      <c r="BQ19" s="43">
        <f>2932.62+54935.2+33344.55+57978.63</f>
        <v>149191</v>
      </c>
      <c r="BR19" s="41">
        <f t="shared" si="44"/>
        <v>-19.760000000009313</v>
      </c>
      <c r="BS19" s="17">
        <f t="shared" si="24"/>
        <v>462144.93</v>
      </c>
      <c r="BT19" s="18">
        <f t="shared" si="24"/>
        <v>462085.86999999994</v>
      </c>
      <c r="BU19" s="18">
        <f t="shared" si="24"/>
        <v>399223.57999999996</v>
      </c>
      <c r="BV19" s="20">
        <f t="shared" si="45"/>
        <v>-59.060000000055879</v>
      </c>
      <c r="BW19" s="17">
        <f t="shared" si="25"/>
        <v>924289.86</v>
      </c>
      <c r="BX19" s="18">
        <f t="shared" si="25"/>
        <v>924163.96</v>
      </c>
      <c r="BY19" s="18">
        <f t="shared" si="25"/>
        <v>828546.2</v>
      </c>
      <c r="BZ19" s="20">
        <f t="shared" si="46"/>
        <v>-125.90000000002328</v>
      </c>
      <c r="CA19" s="17">
        <f t="shared" si="26"/>
        <v>1848579.72</v>
      </c>
      <c r="CB19" s="18">
        <f t="shared" si="26"/>
        <v>1848124.56</v>
      </c>
      <c r="CC19" s="18">
        <f t="shared" si="26"/>
        <v>1575733.38</v>
      </c>
      <c r="CD19" s="20">
        <f t="shared" si="47"/>
        <v>-455.15999999991618</v>
      </c>
      <c r="CE19" s="93"/>
      <c r="CF19" s="3">
        <f>CB9-CB32</f>
        <v>5412338.0600000024</v>
      </c>
      <c r="CG19" s="94"/>
      <c r="CH19" s="93"/>
      <c r="CI19" s="94"/>
      <c r="CJ19" s="91">
        <f t="shared" si="27"/>
        <v>462144.93</v>
      </c>
      <c r="CK19" s="91">
        <f t="shared" si="27"/>
        <v>462085.86999999994</v>
      </c>
      <c r="CL19" s="91">
        <f t="shared" si="27"/>
        <v>399223.57999999996</v>
      </c>
      <c r="CM19" s="91">
        <f t="shared" si="27"/>
        <v>-59.060000000026776</v>
      </c>
      <c r="CN19" s="91">
        <f t="shared" si="15"/>
        <v>1848579.72</v>
      </c>
      <c r="CO19" s="91">
        <f t="shared" si="15"/>
        <v>1848124.5599999998</v>
      </c>
      <c r="CP19" s="91">
        <f t="shared" si="15"/>
        <v>1575733.38</v>
      </c>
      <c r="CQ19" s="91">
        <f t="shared" si="15"/>
        <v>-455.1600000000617</v>
      </c>
    </row>
    <row r="20" spans="1:95" ht="16.5" x14ac:dyDescent="0.3">
      <c r="A20" s="9"/>
      <c r="B20" s="28" t="s">
        <v>169</v>
      </c>
      <c r="C20" s="174"/>
      <c r="D20" s="18"/>
      <c r="E20" s="92"/>
      <c r="F20" s="170"/>
      <c r="G20" s="83"/>
      <c r="H20" s="18"/>
      <c r="I20" s="43"/>
      <c r="J20" s="19"/>
      <c r="K20" s="17"/>
      <c r="L20" s="18"/>
      <c r="M20" s="43">
        <v>124370.86</v>
      </c>
      <c r="N20" s="25"/>
      <c r="O20" s="17">
        <f t="shared" si="17"/>
        <v>0</v>
      </c>
      <c r="P20" s="43"/>
      <c r="Q20" s="43">
        <f t="shared" si="19"/>
        <v>124370.86</v>
      </c>
      <c r="R20" s="19"/>
      <c r="S20" s="17"/>
      <c r="T20" s="18"/>
      <c r="U20" s="43"/>
      <c r="V20" s="19"/>
      <c r="W20" s="17"/>
      <c r="X20" s="18"/>
      <c r="Y20" s="37">
        <v>-116330.39</v>
      </c>
      <c r="Z20" s="18"/>
      <c r="AA20" s="17"/>
      <c r="AB20" s="18"/>
      <c r="AC20" s="199">
        <v>9590.85</v>
      </c>
      <c r="AD20" s="19"/>
      <c r="AE20" s="17">
        <f t="shared" si="20"/>
        <v>0</v>
      </c>
      <c r="AF20" s="18"/>
      <c r="AG20" s="18">
        <f t="shared" si="20"/>
        <v>-106739.54</v>
      </c>
      <c r="AH20" s="19"/>
      <c r="AI20" s="17"/>
      <c r="AJ20" s="43"/>
      <c r="AK20" s="18">
        <f t="shared" si="21"/>
        <v>17631.320000000007</v>
      </c>
      <c r="AL20" s="19"/>
      <c r="AM20" s="17"/>
      <c r="AN20" s="18"/>
      <c r="AO20" s="199">
        <f>50900.95-550.5</f>
        <v>50350.45</v>
      </c>
      <c r="AP20" s="20"/>
      <c r="AQ20" s="17"/>
      <c r="AR20" s="18"/>
      <c r="AS20" s="43"/>
      <c r="AT20" s="20"/>
      <c r="AU20" s="17"/>
      <c r="AV20" s="18"/>
      <c r="AW20" s="43">
        <v>33727.760000000002</v>
      </c>
      <c r="AX20" s="20"/>
      <c r="AY20" s="17"/>
      <c r="AZ20" s="18"/>
      <c r="BA20" s="18">
        <f t="shared" si="22"/>
        <v>84078.209999999992</v>
      </c>
      <c r="BB20" s="19"/>
      <c r="BC20" s="190"/>
      <c r="BD20" s="84"/>
      <c r="BE20" s="84">
        <f t="shared" si="23"/>
        <v>101709.53</v>
      </c>
      <c r="BF20" s="170"/>
      <c r="BG20" s="83"/>
      <c r="BH20" s="18"/>
      <c r="BI20" s="43">
        <v>54339.5</v>
      </c>
      <c r="BJ20" s="41"/>
      <c r="BK20" s="44"/>
      <c r="BL20" s="43"/>
      <c r="BM20" s="43">
        <v>-8547.56</v>
      </c>
      <c r="BN20" s="41"/>
      <c r="BO20" s="44"/>
      <c r="BP20" s="43"/>
      <c r="BQ20" s="43">
        <v>133749.65</v>
      </c>
      <c r="BR20" s="41"/>
      <c r="BS20" s="17"/>
      <c r="BT20" s="18"/>
      <c r="BU20" s="18">
        <f t="shared" si="24"/>
        <v>179541.59</v>
      </c>
      <c r="BV20" s="20"/>
      <c r="BW20" s="17"/>
      <c r="BX20" s="18"/>
      <c r="BY20" s="18">
        <f t="shared" si="25"/>
        <v>263619.8</v>
      </c>
      <c r="BZ20" s="20"/>
      <c r="CA20" s="17"/>
      <c r="CB20" s="18"/>
      <c r="CC20" s="18">
        <f t="shared" si="26"/>
        <v>281251.12</v>
      </c>
      <c r="CD20" s="20"/>
      <c r="CE20" s="93"/>
      <c r="CF20" s="3"/>
      <c r="CG20" s="94"/>
      <c r="CH20" s="93"/>
      <c r="CI20" s="94"/>
      <c r="CJ20" s="91"/>
      <c r="CK20" s="91"/>
      <c r="CL20" s="91"/>
      <c r="CM20" s="91"/>
      <c r="CN20" s="91"/>
      <c r="CO20" s="91"/>
      <c r="CP20" s="91"/>
      <c r="CQ20" s="91"/>
    </row>
    <row r="21" spans="1:95" ht="16.5" x14ac:dyDescent="0.3">
      <c r="A21" s="9">
        <v>2</v>
      </c>
      <c r="B21" s="29" t="s">
        <v>36</v>
      </c>
      <c r="C21" s="174">
        <v>193431.35</v>
      </c>
      <c r="D21" s="18">
        <f>204121.33-5457</f>
        <v>198664.33</v>
      </c>
      <c r="E21" s="43">
        <v>111809.07</v>
      </c>
      <c r="F21" s="170">
        <f t="shared" si="31"/>
        <v>5232.9799999999814</v>
      </c>
      <c r="G21" s="83">
        <v>193431.35</v>
      </c>
      <c r="H21" s="18">
        <v>257766.99</v>
      </c>
      <c r="I21" s="43">
        <f>262530.25-6136.8-4050</f>
        <v>252343.45</v>
      </c>
      <c r="J21" s="19">
        <f t="shared" si="32"/>
        <v>64335.639999999985</v>
      </c>
      <c r="K21" s="17">
        <v>193431.35</v>
      </c>
      <c r="L21" s="18">
        <v>201107.72</v>
      </c>
      <c r="M21" s="43">
        <f>219592.17+1174.78</f>
        <v>220766.95</v>
      </c>
      <c r="N21" s="25">
        <f t="shared" si="28"/>
        <v>7676.3699999999953</v>
      </c>
      <c r="O21" s="25">
        <f t="shared" si="17"/>
        <v>580294.05000000005</v>
      </c>
      <c r="P21" s="95">
        <f t="shared" si="19"/>
        <v>657539.03999999992</v>
      </c>
      <c r="Q21" s="95">
        <f>M21+I21+E21</f>
        <v>584919.47</v>
      </c>
      <c r="R21" s="30">
        <f t="shared" si="33"/>
        <v>77244.989999999874</v>
      </c>
      <c r="S21" s="25">
        <v>193431.35</v>
      </c>
      <c r="T21" s="31">
        <v>219747.31</v>
      </c>
      <c r="U21" s="95">
        <v>159328.79999999999</v>
      </c>
      <c r="V21" s="30">
        <f t="shared" si="34"/>
        <v>26315.959999999992</v>
      </c>
      <c r="W21" s="25">
        <v>193431.35</v>
      </c>
      <c r="X21" s="31">
        <v>200380.38</v>
      </c>
      <c r="Y21" s="40">
        <v>166823.70000000001</v>
      </c>
      <c r="Z21" s="18">
        <f t="shared" si="35"/>
        <v>6949.0299999999988</v>
      </c>
      <c r="AA21" s="25">
        <v>193431.35</v>
      </c>
      <c r="AB21" s="31">
        <v>204366.52</v>
      </c>
      <c r="AC21" s="200">
        <v>197024.02</v>
      </c>
      <c r="AD21" s="19">
        <f t="shared" si="29"/>
        <v>10935.169999999984</v>
      </c>
      <c r="AE21" s="25">
        <f t="shared" si="20"/>
        <v>580294.05000000005</v>
      </c>
      <c r="AF21" s="31">
        <f t="shared" si="20"/>
        <v>624494.21</v>
      </c>
      <c r="AG21" s="31">
        <f>U21+Y21+AC21</f>
        <v>523176.52</v>
      </c>
      <c r="AH21" s="30">
        <f t="shared" si="36"/>
        <v>44200.159999999916</v>
      </c>
      <c r="AI21" s="25">
        <f t="shared" ref="AI21:AK22" si="48">AE21+O21</f>
        <v>1160588.1000000001</v>
      </c>
      <c r="AJ21" s="31">
        <f t="shared" si="48"/>
        <v>1282033.25</v>
      </c>
      <c r="AK21" s="31">
        <f>AG21+Q21</f>
        <v>1108095.99</v>
      </c>
      <c r="AL21" s="30">
        <f t="shared" si="37"/>
        <v>121445.14999999991</v>
      </c>
      <c r="AM21" s="17">
        <v>193431.35</v>
      </c>
      <c r="AN21" s="18">
        <v>218869.38</v>
      </c>
      <c r="AO21" s="199">
        <v>196361.12</v>
      </c>
      <c r="AP21" s="20">
        <f t="shared" si="38"/>
        <v>25438.03</v>
      </c>
      <c r="AQ21" s="17">
        <v>193431.35</v>
      </c>
      <c r="AR21" s="18">
        <v>201956.64</v>
      </c>
      <c r="AS21" s="43">
        <f>274510.2-5454</f>
        <v>269056.2</v>
      </c>
      <c r="AT21" s="20">
        <f t="shared" si="39"/>
        <v>8525.2900000000081</v>
      </c>
      <c r="AU21" s="17">
        <v>193431.35</v>
      </c>
      <c r="AV21" s="18">
        <v>206121.63</v>
      </c>
      <c r="AW21" s="43">
        <f>167639.92+13485.06</f>
        <v>181124.98</v>
      </c>
      <c r="AX21" s="20">
        <f t="shared" si="40"/>
        <v>12690.279999999999</v>
      </c>
      <c r="AY21" s="17">
        <f t="shared" si="22"/>
        <v>580294.05000000005</v>
      </c>
      <c r="AZ21" s="31">
        <f t="shared" si="22"/>
        <v>626947.65</v>
      </c>
      <c r="BA21" s="31">
        <f>AO21+AS21+AW21</f>
        <v>646542.30000000005</v>
      </c>
      <c r="BB21" s="30">
        <f t="shared" si="41"/>
        <v>46653.599999999977</v>
      </c>
      <c r="BC21" s="191">
        <f t="shared" si="23"/>
        <v>1740882.1500000001</v>
      </c>
      <c r="BD21" s="96">
        <f t="shared" si="23"/>
        <v>1908980.9</v>
      </c>
      <c r="BE21" s="96">
        <f t="shared" si="23"/>
        <v>1754638.29</v>
      </c>
      <c r="BF21" s="178">
        <f t="shared" si="42"/>
        <v>168098.74999999977</v>
      </c>
      <c r="BG21" s="17">
        <v>193431.35</v>
      </c>
      <c r="BH21" s="31">
        <v>212448.22</v>
      </c>
      <c r="BI21" s="95">
        <v>129683.89</v>
      </c>
      <c r="BJ21" s="27">
        <f t="shared" si="30"/>
        <v>19016.869999999995</v>
      </c>
      <c r="BK21" s="90">
        <v>193431.35</v>
      </c>
      <c r="BL21" s="95">
        <v>201448.57</v>
      </c>
      <c r="BM21" s="95">
        <v>161789.92000000001</v>
      </c>
      <c r="BN21" s="27">
        <f t="shared" si="43"/>
        <v>8017.2200000000012</v>
      </c>
      <c r="BO21" s="25">
        <v>193431.35</v>
      </c>
      <c r="BP21" s="95">
        <v>201966.5</v>
      </c>
      <c r="BQ21" s="95">
        <v>303511.88</v>
      </c>
      <c r="BR21" s="27">
        <f t="shared" si="44"/>
        <v>8535.1499999999942</v>
      </c>
      <c r="BS21" s="25">
        <f t="shared" si="24"/>
        <v>580294.05000000005</v>
      </c>
      <c r="BT21" s="31">
        <f t="shared" si="24"/>
        <v>615863.29</v>
      </c>
      <c r="BU21" s="31">
        <f>BI21+BM21+BQ21</f>
        <v>594985.68999999994</v>
      </c>
      <c r="BV21" s="20">
        <f t="shared" si="45"/>
        <v>35569.239999999991</v>
      </c>
      <c r="BW21" s="25">
        <f t="shared" si="25"/>
        <v>1160588.1000000001</v>
      </c>
      <c r="BX21" s="31">
        <f t="shared" si="25"/>
        <v>1242810.94</v>
      </c>
      <c r="BY21" s="31">
        <f>BU21+BA21</f>
        <v>1241527.99</v>
      </c>
      <c r="BZ21" s="32">
        <f t="shared" si="46"/>
        <v>82222.839999999851</v>
      </c>
      <c r="CA21" s="25">
        <f t="shared" si="26"/>
        <v>2321176.2000000002</v>
      </c>
      <c r="CB21" s="31">
        <f t="shared" si="26"/>
        <v>2524844.19</v>
      </c>
      <c r="CC21" s="31">
        <f t="shared" si="26"/>
        <v>2349623.98</v>
      </c>
      <c r="CD21" s="32">
        <f t="shared" si="47"/>
        <v>203667.98999999976</v>
      </c>
      <c r="CF21" s="3"/>
      <c r="CG21" s="3"/>
      <c r="CJ21" s="208">
        <f t="shared" si="27"/>
        <v>580294.05000000005</v>
      </c>
      <c r="CK21" s="208">
        <f t="shared" si="27"/>
        <v>615863.29</v>
      </c>
      <c r="CL21" s="208">
        <f t="shared" si="27"/>
        <v>594985.68999999994</v>
      </c>
      <c r="CM21" s="208">
        <f t="shared" si="27"/>
        <v>35569.239999999991</v>
      </c>
      <c r="CN21" s="208">
        <f t="shared" si="15"/>
        <v>2321176.2000000002</v>
      </c>
      <c r="CO21" s="208">
        <f t="shared" si="15"/>
        <v>2524844.19</v>
      </c>
      <c r="CP21" s="208">
        <f t="shared" si="15"/>
        <v>2349623.98</v>
      </c>
      <c r="CQ21" s="208">
        <f t="shared" si="15"/>
        <v>203667.98999999976</v>
      </c>
    </row>
    <row r="22" spans="1:95" ht="16.5" x14ac:dyDescent="0.3">
      <c r="A22" s="9">
        <v>3</v>
      </c>
      <c r="B22" s="33" t="s">
        <v>37</v>
      </c>
      <c r="C22" s="174">
        <v>23500</v>
      </c>
      <c r="D22" s="18">
        <v>23316.55</v>
      </c>
      <c r="E22" s="43">
        <f>22971.55+345</f>
        <v>23316.55</v>
      </c>
      <c r="F22" s="170">
        <f t="shared" si="31"/>
        <v>-183.45000000000073</v>
      </c>
      <c r="G22" s="83">
        <v>23500</v>
      </c>
      <c r="H22" s="43">
        <v>41227</v>
      </c>
      <c r="I22" s="43">
        <f>36057+1120+4050</f>
        <v>41227</v>
      </c>
      <c r="J22" s="19">
        <f t="shared" si="32"/>
        <v>17727</v>
      </c>
      <c r="K22" s="17">
        <v>23500</v>
      </c>
      <c r="L22" s="18">
        <f>42429.5+2822.5</f>
        <v>45252</v>
      </c>
      <c r="M22" s="43">
        <f>42429.5+2822.5</f>
        <v>45252</v>
      </c>
      <c r="N22" s="31">
        <f t="shared" si="28"/>
        <v>21752</v>
      </c>
      <c r="O22" s="25">
        <f>C22+G22+K22</f>
        <v>70500</v>
      </c>
      <c r="P22" s="95">
        <f t="shared" si="19"/>
        <v>109795.55</v>
      </c>
      <c r="Q22" s="95">
        <f t="shared" si="19"/>
        <v>109795.55</v>
      </c>
      <c r="R22" s="30">
        <f t="shared" si="33"/>
        <v>39295.550000000003</v>
      </c>
      <c r="S22" s="25">
        <v>23500</v>
      </c>
      <c r="T22" s="31">
        <v>18175.5</v>
      </c>
      <c r="U22" s="95">
        <v>18175.5</v>
      </c>
      <c r="V22" s="30">
        <f t="shared" si="34"/>
        <v>-5324.5</v>
      </c>
      <c r="W22" s="25">
        <v>23500</v>
      </c>
      <c r="X22" s="40">
        <f>17910+1802.5</f>
        <v>19712.5</v>
      </c>
      <c r="Y22" s="40">
        <f>17910+1802.5</f>
        <v>19712.5</v>
      </c>
      <c r="Z22" s="18">
        <f t="shared" si="35"/>
        <v>-3787.5</v>
      </c>
      <c r="AA22" s="25">
        <v>23500</v>
      </c>
      <c r="AB22" s="31">
        <v>33862</v>
      </c>
      <c r="AC22" s="200">
        <v>33862</v>
      </c>
      <c r="AD22" s="19">
        <f t="shared" si="29"/>
        <v>10362</v>
      </c>
      <c r="AE22" s="25">
        <f t="shared" si="20"/>
        <v>70500</v>
      </c>
      <c r="AF22" s="31">
        <f t="shared" si="20"/>
        <v>71750</v>
      </c>
      <c r="AG22" s="31">
        <f t="shared" si="20"/>
        <v>71750</v>
      </c>
      <c r="AH22" s="30">
        <f t="shared" si="36"/>
        <v>1250</v>
      </c>
      <c r="AI22" s="25">
        <f t="shared" si="48"/>
        <v>141000</v>
      </c>
      <c r="AJ22" s="31">
        <f t="shared" si="48"/>
        <v>181545.55</v>
      </c>
      <c r="AK22" s="31">
        <f t="shared" si="48"/>
        <v>181545.55</v>
      </c>
      <c r="AL22" s="30">
        <f t="shared" si="37"/>
        <v>40545.549999999988</v>
      </c>
      <c r="AM22" s="17">
        <v>23500</v>
      </c>
      <c r="AN22" s="18">
        <v>49339</v>
      </c>
      <c r="AO22" s="199">
        <v>49339</v>
      </c>
      <c r="AP22" s="20">
        <f t="shared" si="38"/>
        <v>25839</v>
      </c>
      <c r="AQ22" s="17">
        <v>23500</v>
      </c>
      <c r="AR22" s="18">
        <f>AS22</f>
        <v>18871.5</v>
      </c>
      <c r="AS22" s="43">
        <f>3262+18347-2450-287.5</f>
        <v>18871.5</v>
      </c>
      <c r="AT22" s="20">
        <f t="shared" si="39"/>
        <v>-4628.5</v>
      </c>
      <c r="AU22" s="17">
        <v>23500</v>
      </c>
      <c r="AV22" s="18">
        <f>70080.7-200</f>
        <v>69880.7</v>
      </c>
      <c r="AW22" s="43">
        <f>8181+64114.7-2215-200</f>
        <v>69880.7</v>
      </c>
      <c r="AX22" s="20">
        <f t="shared" si="40"/>
        <v>46380.7</v>
      </c>
      <c r="AY22" s="17">
        <f t="shared" si="22"/>
        <v>70500</v>
      </c>
      <c r="AZ22" s="31">
        <f t="shared" si="22"/>
        <v>138091.20000000001</v>
      </c>
      <c r="BA22" s="31">
        <f t="shared" si="22"/>
        <v>138091.20000000001</v>
      </c>
      <c r="BB22" s="30">
        <f t="shared" si="41"/>
        <v>67591.200000000012</v>
      </c>
      <c r="BC22" s="191">
        <f t="shared" si="23"/>
        <v>211500</v>
      </c>
      <c r="BD22" s="96">
        <f t="shared" si="23"/>
        <v>319636.75</v>
      </c>
      <c r="BE22" s="96">
        <f t="shared" si="23"/>
        <v>319636.75</v>
      </c>
      <c r="BF22" s="178">
        <f t="shared" si="42"/>
        <v>108136.75</v>
      </c>
      <c r="BG22" s="17">
        <v>23500</v>
      </c>
      <c r="BH22" s="31">
        <v>17712</v>
      </c>
      <c r="BI22" s="95">
        <v>17712</v>
      </c>
      <c r="BJ22" s="27">
        <f t="shared" si="30"/>
        <v>-5788</v>
      </c>
      <c r="BK22" s="90">
        <v>23500</v>
      </c>
      <c r="BL22" s="95">
        <v>29730</v>
      </c>
      <c r="BM22" s="95">
        <v>29730</v>
      </c>
      <c r="BN22" s="27">
        <f t="shared" si="43"/>
        <v>6230</v>
      </c>
      <c r="BO22" s="25">
        <v>23500</v>
      </c>
      <c r="BP22" s="95">
        <v>24688.5</v>
      </c>
      <c r="BQ22" s="95">
        <f>16753.5+6765+2520-1350</f>
        <v>24688.5</v>
      </c>
      <c r="BR22" s="27">
        <f t="shared" si="44"/>
        <v>1188.5</v>
      </c>
      <c r="BS22" s="25">
        <f t="shared" si="24"/>
        <v>70500</v>
      </c>
      <c r="BT22" s="31">
        <f t="shared" si="24"/>
        <v>72130.5</v>
      </c>
      <c r="BU22" s="31">
        <f>BI22+BM22+BQ22</f>
        <v>72130.5</v>
      </c>
      <c r="BV22" s="20">
        <f t="shared" si="45"/>
        <v>1630.5</v>
      </c>
      <c r="BW22" s="25">
        <f t="shared" si="25"/>
        <v>141000</v>
      </c>
      <c r="BX22" s="31">
        <f t="shared" si="25"/>
        <v>210221.7</v>
      </c>
      <c r="BY22" s="31">
        <f t="shared" si="25"/>
        <v>210221.7</v>
      </c>
      <c r="BZ22" s="32">
        <f t="shared" si="46"/>
        <v>69221.700000000012</v>
      </c>
      <c r="CA22" s="25">
        <f t="shared" si="26"/>
        <v>282000</v>
      </c>
      <c r="CB22" s="31">
        <f t="shared" si="26"/>
        <v>391767.25</v>
      </c>
      <c r="CC22" s="95">
        <f t="shared" si="26"/>
        <v>391767.25</v>
      </c>
      <c r="CD22" s="32">
        <f t="shared" si="47"/>
        <v>109767.25</v>
      </c>
      <c r="CF22" s="3"/>
      <c r="CJ22" s="208">
        <f t="shared" si="27"/>
        <v>70500</v>
      </c>
      <c r="CK22" s="208">
        <f t="shared" si="27"/>
        <v>72130.5</v>
      </c>
      <c r="CL22" s="208">
        <f t="shared" si="27"/>
        <v>72130.5</v>
      </c>
      <c r="CM22" s="208">
        <f t="shared" si="27"/>
        <v>1630.5</v>
      </c>
      <c r="CN22" s="208">
        <f t="shared" si="15"/>
        <v>282000</v>
      </c>
      <c r="CO22" s="208">
        <f t="shared" si="15"/>
        <v>391767.25</v>
      </c>
      <c r="CP22" s="208">
        <f t="shared" si="15"/>
        <v>391767.25</v>
      </c>
      <c r="CQ22" s="208">
        <f t="shared" si="15"/>
        <v>109767.25000000001</v>
      </c>
    </row>
    <row r="23" spans="1:95" ht="16.5" x14ac:dyDescent="0.3">
      <c r="A23" s="9">
        <v>4</v>
      </c>
      <c r="B23" s="33" t="s">
        <v>38</v>
      </c>
      <c r="C23" s="168">
        <f>C24+C25+C26</f>
        <v>81120</v>
      </c>
      <c r="D23" s="25">
        <f>D24+D25+D26</f>
        <v>71850</v>
      </c>
      <c r="E23" s="90">
        <f>E24+E25+E26</f>
        <v>46800</v>
      </c>
      <c r="F23" s="170">
        <f t="shared" si="31"/>
        <v>-9270</v>
      </c>
      <c r="G23" s="89">
        <f>G24+G25+G26</f>
        <v>81120</v>
      </c>
      <c r="H23" s="25">
        <f>H24+H25+H26</f>
        <v>86490</v>
      </c>
      <c r="I23" s="90">
        <f>I24+I25+I26</f>
        <v>95720</v>
      </c>
      <c r="J23" s="19">
        <f t="shared" si="32"/>
        <v>5370</v>
      </c>
      <c r="K23" s="25">
        <f>K24+K25+K26</f>
        <v>81120</v>
      </c>
      <c r="L23" s="31">
        <f>L24+L25+L26</f>
        <v>111540</v>
      </c>
      <c r="M23" s="95">
        <f>M24+M25+M26</f>
        <v>96900</v>
      </c>
      <c r="N23" s="31">
        <f t="shared" si="28"/>
        <v>30420</v>
      </c>
      <c r="O23" s="25">
        <f>C23+G23+K23</f>
        <v>243360</v>
      </c>
      <c r="P23" s="95">
        <f t="shared" si="19"/>
        <v>269880</v>
      </c>
      <c r="Q23" s="95">
        <f t="shared" si="19"/>
        <v>239420</v>
      </c>
      <c r="R23" s="30">
        <f t="shared" si="33"/>
        <v>26520</v>
      </c>
      <c r="S23" s="25">
        <f>S24+S25+S26</f>
        <v>81120</v>
      </c>
      <c r="T23" s="31">
        <f>T24+T25+T26</f>
        <v>89460</v>
      </c>
      <c r="U23" s="31">
        <f>U24+U25+U26</f>
        <v>49770</v>
      </c>
      <c r="V23" s="30">
        <f t="shared" si="34"/>
        <v>8340</v>
      </c>
      <c r="W23" s="25">
        <f>W24+W25+W26</f>
        <v>81120</v>
      </c>
      <c r="X23" s="31">
        <f>X24+X25+X26</f>
        <v>86490</v>
      </c>
      <c r="Y23" s="40">
        <f>Y24+Y25+Y26</f>
        <v>152490</v>
      </c>
      <c r="Z23" s="31">
        <f t="shared" si="35"/>
        <v>5370</v>
      </c>
      <c r="AA23" s="89">
        <f>AA24+AA25+AA26</f>
        <v>81120</v>
      </c>
      <c r="AB23" s="31">
        <f>AB24+AB25+AB26</f>
        <v>86490</v>
      </c>
      <c r="AC23" s="200">
        <f>AC24+AC25+AC26</f>
        <v>86490</v>
      </c>
      <c r="AD23" s="30">
        <f t="shared" si="29"/>
        <v>5370</v>
      </c>
      <c r="AE23" s="25">
        <f t="shared" si="20"/>
        <v>243360</v>
      </c>
      <c r="AF23" s="31">
        <f>AF24+AF25+AF26</f>
        <v>262440</v>
      </c>
      <c r="AG23" s="31">
        <f>AG24+AG25+AG26</f>
        <v>288750</v>
      </c>
      <c r="AH23" s="19">
        <f t="shared" si="36"/>
        <v>19080</v>
      </c>
      <c r="AI23" s="25">
        <f>AI24+AI25+AI26</f>
        <v>486720</v>
      </c>
      <c r="AJ23" s="31">
        <f>AJ24+AJ25+AJ26</f>
        <v>532320</v>
      </c>
      <c r="AK23" s="31">
        <f>AK24+AK25+AK26</f>
        <v>528170</v>
      </c>
      <c r="AL23" s="30">
        <f t="shared" si="37"/>
        <v>45600</v>
      </c>
      <c r="AM23" s="25">
        <f>AM24+AM25+AM26</f>
        <v>81120</v>
      </c>
      <c r="AN23" s="31">
        <f>AN24+AN25+AN26</f>
        <v>86490</v>
      </c>
      <c r="AO23" s="200">
        <f>AO24+AO25+AO26</f>
        <v>86490</v>
      </c>
      <c r="AP23" s="32">
        <f t="shared" si="38"/>
        <v>5370</v>
      </c>
      <c r="AQ23" s="25">
        <f>AQ24+AQ25+AQ26</f>
        <v>81120</v>
      </c>
      <c r="AR23" s="31">
        <f>AR24+AR25+AR26</f>
        <v>86490</v>
      </c>
      <c r="AS23" s="31">
        <f>AS24+AS25+AS26</f>
        <v>86490</v>
      </c>
      <c r="AT23" s="32">
        <f t="shared" si="39"/>
        <v>5370</v>
      </c>
      <c r="AU23" s="25">
        <f>AU24+AU25+AU26</f>
        <v>81120</v>
      </c>
      <c r="AV23" s="31">
        <f>AV24+AV25+AV26</f>
        <v>86490</v>
      </c>
      <c r="AW23" s="95">
        <f>AW24+AW25+AW26</f>
        <v>64410</v>
      </c>
      <c r="AX23" s="32">
        <f t="shared" si="40"/>
        <v>5370</v>
      </c>
      <c r="AY23" s="25">
        <f>AY24+AY25+AY26</f>
        <v>243360</v>
      </c>
      <c r="AZ23" s="31">
        <f>AZ24+AZ25+AZ26</f>
        <v>259470</v>
      </c>
      <c r="BA23" s="31">
        <f>BA24+BA25+BA26</f>
        <v>237390</v>
      </c>
      <c r="BB23" s="30">
        <f t="shared" si="41"/>
        <v>16110</v>
      </c>
      <c r="BC23" s="191">
        <f t="shared" si="23"/>
        <v>730080</v>
      </c>
      <c r="BD23" s="96">
        <f t="shared" si="23"/>
        <v>791790</v>
      </c>
      <c r="BE23" s="96">
        <f t="shared" si="23"/>
        <v>765560</v>
      </c>
      <c r="BF23" s="178">
        <f t="shared" si="42"/>
        <v>61710</v>
      </c>
      <c r="BG23" s="89">
        <f>BG24+BG25+BG26</f>
        <v>81120</v>
      </c>
      <c r="BH23" s="31">
        <f>BH24+BH26</f>
        <v>86490</v>
      </c>
      <c r="BI23" s="95">
        <f>BI24+BI25+BI26</f>
        <v>108570</v>
      </c>
      <c r="BJ23" s="27">
        <f t="shared" si="30"/>
        <v>5370</v>
      </c>
      <c r="BK23" s="90">
        <f>BK24+BK25+BK26</f>
        <v>81120</v>
      </c>
      <c r="BL23" s="90">
        <f>BL24+BL25+BL26</f>
        <v>86490</v>
      </c>
      <c r="BM23" s="95">
        <f>BM24+BM26</f>
        <v>86490</v>
      </c>
      <c r="BN23" s="27">
        <f t="shared" si="43"/>
        <v>5370</v>
      </c>
      <c r="BO23" s="90">
        <f>BO24+BO25+BO26</f>
        <v>81120</v>
      </c>
      <c r="BP23" s="90">
        <f>BP24+BP25+BP26</f>
        <v>86490</v>
      </c>
      <c r="BQ23" s="90">
        <f>BQ24+BQ25+BQ26</f>
        <v>86490</v>
      </c>
      <c r="BR23" s="27">
        <f t="shared" si="44"/>
        <v>5370</v>
      </c>
      <c r="BS23" s="25">
        <f t="shared" si="24"/>
        <v>243360</v>
      </c>
      <c r="BT23" s="31">
        <f t="shared" si="24"/>
        <v>259470</v>
      </c>
      <c r="BU23" s="31">
        <f>BI23+BM23+BQ23</f>
        <v>281550</v>
      </c>
      <c r="BV23" s="20">
        <f t="shared" si="45"/>
        <v>16110</v>
      </c>
      <c r="BW23" s="25">
        <f t="shared" si="25"/>
        <v>486720</v>
      </c>
      <c r="BX23" s="31">
        <f t="shared" si="25"/>
        <v>518940</v>
      </c>
      <c r="BY23" s="31">
        <f t="shared" si="25"/>
        <v>518940</v>
      </c>
      <c r="BZ23" s="20">
        <f t="shared" si="46"/>
        <v>32220</v>
      </c>
      <c r="CA23" s="95">
        <f t="shared" ref="CA23:CB23" si="49">CA24+CA25+CA26</f>
        <v>973440</v>
      </c>
      <c r="CB23" s="95">
        <f t="shared" si="49"/>
        <v>1051260</v>
      </c>
      <c r="CC23" s="95">
        <f>CC24+CC25+CC26</f>
        <v>1047110</v>
      </c>
      <c r="CD23" s="32">
        <f t="shared" si="47"/>
        <v>77820</v>
      </c>
      <c r="CF23" s="3"/>
      <c r="CH23" s="3"/>
      <c r="CJ23" s="208">
        <f>SUM(CJ24:CJ26)</f>
        <v>243360</v>
      </c>
      <c r="CK23" s="208">
        <f>SUM(CK24:CK26)</f>
        <v>259470</v>
      </c>
      <c r="CL23" s="208">
        <f>SUM(CL24:CL26)</f>
        <v>281550</v>
      </c>
      <c r="CM23" s="208">
        <f>SUM(CM24:CM26)</f>
        <v>16110</v>
      </c>
      <c r="CN23" s="208">
        <f t="shared" si="15"/>
        <v>973440</v>
      </c>
      <c r="CO23" s="208">
        <f t="shared" si="15"/>
        <v>1051260</v>
      </c>
      <c r="CP23" s="208">
        <f t="shared" si="15"/>
        <v>1047110</v>
      </c>
      <c r="CQ23" s="208">
        <f t="shared" si="15"/>
        <v>77820</v>
      </c>
    </row>
    <row r="24" spans="1:95" ht="25.5" x14ac:dyDescent="0.3">
      <c r="A24" s="9"/>
      <c r="B24" s="28" t="s">
        <v>39</v>
      </c>
      <c r="C24" s="168">
        <v>68970</v>
      </c>
      <c r="D24" s="18">
        <v>59700</v>
      </c>
      <c r="E24" s="43">
        <v>34650</v>
      </c>
      <c r="F24" s="170">
        <f t="shared" si="31"/>
        <v>-9270</v>
      </c>
      <c r="G24" s="83">
        <v>68970</v>
      </c>
      <c r="H24" s="18">
        <v>74340</v>
      </c>
      <c r="I24" s="43">
        <f>22080+34650+26840</f>
        <v>83570</v>
      </c>
      <c r="J24" s="19">
        <f t="shared" si="32"/>
        <v>5370</v>
      </c>
      <c r="K24" s="17">
        <v>68970</v>
      </c>
      <c r="L24" s="18">
        <v>99390</v>
      </c>
      <c r="M24" s="43">
        <v>84750</v>
      </c>
      <c r="N24" s="31">
        <f t="shared" si="28"/>
        <v>30420</v>
      </c>
      <c r="O24" s="17">
        <f t="shared" ref="O24:O27" si="50">C24+G24+K24</f>
        <v>206910</v>
      </c>
      <c r="P24" s="43">
        <f t="shared" si="19"/>
        <v>233430</v>
      </c>
      <c r="Q24" s="43">
        <f t="shared" si="19"/>
        <v>202970</v>
      </c>
      <c r="R24" s="19">
        <f t="shared" si="33"/>
        <v>26520</v>
      </c>
      <c r="S24" s="17">
        <v>68970</v>
      </c>
      <c r="T24" s="18">
        <v>77310</v>
      </c>
      <c r="U24" s="43">
        <v>37620</v>
      </c>
      <c r="V24" s="19">
        <f t="shared" si="34"/>
        <v>8340</v>
      </c>
      <c r="W24" s="17">
        <v>68970</v>
      </c>
      <c r="X24" s="18">
        <v>74340</v>
      </c>
      <c r="Y24" s="37">
        <f>44160+37620+58560</f>
        <v>140340</v>
      </c>
      <c r="Z24" s="18">
        <f t="shared" si="35"/>
        <v>5370</v>
      </c>
      <c r="AA24" s="17">
        <v>68970</v>
      </c>
      <c r="AB24" s="18">
        <v>74340</v>
      </c>
      <c r="AC24" s="199">
        <f>22080+37620+14640</f>
        <v>74340</v>
      </c>
      <c r="AD24" s="19">
        <f t="shared" si="29"/>
        <v>5370</v>
      </c>
      <c r="AE24" s="17">
        <f t="shared" si="20"/>
        <v>206910</v>
      </c>
      <c r="AF24" s="18">
        <f t="shared" si="20"/>
        <v>225990</v>
      </c>
      <c r="AG24" s="18">
        <f t="shared" si="20"/>
        <v>252300</v>
      </c>
      <c r="AH24" s="19">
        <f t="shared" si="36"/>
        <v>19080</v>
      </c>
      <c r="AI24" s="17">
        <f t="shared" ref="AI24:AK27" si="51">AE24+O24</f>
        <v>413820</v>
      </c>
      <c r="AJ24" s="18">
        <f t="shared" si="51"/>
        <v>459420</v>
      </c>
      <c r="AK24" s="18">
        <f t="shared" si="51"/>
        <v>455270</v>
      </c>
      <c r="AL24" s="19">
        <f t="shared" si="37"/>
        <v>45600</v>
      </c>
      <c r="AM24" s="17">
        <v>68970</v>
      </c>
      <c r="AN24" s="18">
        <f>14640+22080+37620</f>
        <v>74340</v>
      </c>
      <c r="AO24" s="18">
        <f>14640+22080+37620</f>
        <v>74340</v>
      </c>
      <c r="AP24" s="20">
        <f t="shared" si="38"/>
        <v>5370</v>
      </c>
      <c r="AQ24" s="17">
        <v>68970</v>
      </c>
      <c r="AR24" s="18">
        <f>14640+22080+37620</f>
        <v>74340</v>
      </c>
      <c r="AS24" s="18">
        <f>14640+22080+37620</f>
        <v>74340</v>
      </c>
      <c r="AT24" s="20">
        <f t="shared" si="39"/>
        <v>5370</v>
      </c>
      <c r="AU24" s="17">
        <v>68970</v>
      </c>
      <c r="AV24" s="18">
        <v>74340</v>
      </c>
      <c r="AW24" s="43">
        <f>37620+14640</f>
        <v>52260</v>
      </c>
      <c r="AX24" s="20">
        <f t="shared" si="40"/>
        <v>5370</v>
      </c>
      <c r="AY24" s="17">
        <f t="shared" ref="AY24:BA31" si="52">AM24+AQ24+AU24</f>
        <v>206910</v>
      </c>
      <c r="AZ24" s="18">
        <f t="shared" si="52"/>
        <v>223020</v>
      </c>
      <c r="BA24" s="18">
        <f t="shared" si="52"/>
        <v>200940</v>
      </c>
      <c r="BB24" s="19">
        <f t="shared" si="41"/>
        <v>16110</v>
      </c>
      <c r="BC24" s="190">
        <f t="shared" si="23"/>
        <v>620730</v>
      </c>
      <c r="BD24" s="84">
        <f t="shared" si="23"/>
        <v>682440</v>
      </c>
      <c r="BE24" s="84">
        <f t="shared" si="23"/>
        <v>656210</v>
      </c>
      <c r="BF24" s="170">
        <f t="shared" si="42"/>
        <v>61710</v>
      </c>
      <c r="BG24" s="17">
        <v>68970</v>
      </c>
      <c r="BH24" s="18">
        <f>22080+14640+37620</f>
        <v>74340</v>
      </c>
      <c r="BI24" s="43">
        <f>14640+44160+37620</f>
        <v>96420</v>
      </c>
      <c r="BJ24" s="41">
        <f t="shared" si="30"/>
        <v>5370</v>
      </c>
      <c r="BK24" s="17">
        <v>68970</v>
      </c>
      <c r="BL24" s="43">
        <f>14640+22080+37620</f>
        <v>74340</v>
      </c>
      <c r="BM24" s="43">
        <f>14640+22080+37620</f>
        <v>74340</v>
      </c>
      <c r="BN24" s="41">
        <f t="shared" si="43"/>
        <v>5370</v>
      </c>
      <c r="BO24" s="17">
        <v>68970</v>
      </c>
      <c r="BP24" s="43">
        <f>14640+22080+37620</f>
        <v>74340</v>
      </c>
      <c r="BQ24" s="43">
        <f>22080+37620+14640</f>
        <v>74340</v>
      </c>
      <c r="BR24" s="41">
        <f t="shared" si="44"/>
        <v>5370</v>
      </c>
      <c r="BS24" s="17">
        <f t="shared" si="24"/>
        <v>206910</v>
      </c>
      <c r="BT24" s="18">
        <f t="shared" si="24"/>
        <v>223020</v>
      </c>
      <c r="BU24" s="18">
        <f t="shared" si="24"/>
        <v>245100</v>
      </c>
      <c r="BV24" s="20">
        <f t="shared" si="45"/>
        <v>16110</v>
      </c>
      <c r="BW24" s="17">
        <f t="shared" si="25"/>
        <v>413820</v>
      </c>
      <c r="BX24" s="18">
        <f t="shared" si="25"/>
        <v>446040</v>
      </c>
      <c r="BY24" s="18">
        <f t="shared" si="25"/>
        <v>446040</v>
      </c>
      <c r="BZ24" s="20">
        <f t="shared" si="46"/>
        <v>32220</v>
      </c>
      <c r="CA24" s="17">
        <f t="shared" ref="CA24:CC31" si="53">BW24+AI24</f>
        <v>827640</v>
      </c>
      <c r="CB24" s="18">
        <f t="shared" si="53"/>
        <v>905460</v>
      </c>
      <c r="CC24" s="43">
        <f t="shared" si="53"/>
        <v>901310</v>
      </c>
      <c r="CD24" s="20">
        <f t="shared" si="47"/>
        <v>77820</v>
      </c>
      <c r="CF24" s="3"/>
      <c r="CG24" s="3"/>
      <c r="CJ24" s="91">
        <f t="shared" ref="CJ24:CM26" si="54">BG24+BK24+BO24</f>
        <v>206910</v>
      </c>
      <c r="CK24" s="91">
        <f t="shared" si="54"/>
        <v>223020</v>
      </c>
      <c r="CL24" s="91">
        <f t="shared" si="54"/>
        <v>245100</v>
      </c>
      <c r="CM24" s="91">
        <f t="shared" si="54"/>
        <v>16110</v>
      </c>
      <c r="CN24" s="91">
        <f t="shared" si="15"/>
        <v>827640</v>
      </c>
      <c r="CO24" s="91">
        <f t="shared" si="15"/>
        <v>905460</v>
      </c>
      <c r="CP24" s="91">
        <f t="shared" si="15"/>
        <v>901310</v>
      </c>
      <c r="CQ24" s="91">
        <f t="shared" si="15"/>
        <v>77820</v>
      </c>
    </row>
    <row r="25" spans="1:95" ht="17.25" customHeight="1" x14ac:dyDescent="0.3">
      <c r="A25" s="9"/>
      <c r="B25" s="35" t="s">
        <v>40</v>
      </c>
      <c r="C25" s="168"/>
      <c r="D25" s="18"/>
      <c r="E25" s="199"/>
      <c r="F25" s="170">
        <f t="shared" si="31"/>
        <v>0</v>
      </c>
      <c r="G25" s="83"/>
      <c r="H25" s="18"/>
      <c r="I25" s="43"/>
      <c r="J25" s="19">
        <f t="shared" si="32"/>
        <v>0</v>
      </c>
      <c r="K25" s="17"/>
      <c r="L25" s="18"/>
      <c r="M25" s="43"/>
      <c r="N25" s="31">
        <f t="shared" si="28"/>
        <v>0</v>
      </c>
      <c r="O25" s="17">
        <f t="shared" si="50"/>
        <v>0</v>
      </c>
      <c r="P25" s="43">
        <f t="shared" si="19"/>
        <v>0</v>
      </c>
      <c r="Q25" s="43">
        <f t="shared" si="19"/>
        <v>0</v>
      </c>
      <c r="R25" s="19">
        <f t="shared" si="33"/>
        <v>0</v>
      </c>
      <c r="S25" s="17"/>
      <c r="T25" s="18"/>
      <c r="U25" s="43"/>
      <c r="V25" s="19">
        <f t="shared" si="34"/>
        <v>0</v>
      </c>
      <c r="W25" s="17"/>
      <c r="X25" s="18"/>
      <c r="Y25" s="37"/>
      <c r="Z25" s="18">
        <f t="shared" si="35"/>
        <v>0</v>
      </c>
      <c r="AA25" s="17"/>
      <c r="AB25" s="18"/>
      <c r="AC25" s="199"/>
      <c r="AD25" s="19">
        <f t="shared" si="29"/>
        <v>0</v>
      </c>
      <c r="AE25" s="17">
        <f t="shared" si="20"/>
        <v>0</v>
      </c>
      <c r="AF25" s="18">
        <f t="shared" si="20"/>
        <v>0</v>
      </c>
      <c r="AG25" s="18">
        <f t="shared" si="20"/>
        <v>0</v>
      </c>
      <c r="AH25" s="19">
        <f t="shared" si="36"/>
        <v>0</v>
      </c>
      <c r="AI25" s="17">
        <f t="shared" si="51"/>
        <v>0</v>
      </c>
      <c r="AJ25" s="18">
        <f t="shared" si="51"/>
        <v>0</v>
      </c>
      <c r="AK25" s="18">
        <f t="shared" si="51"/>
        <v>0</v>
      </c>
      <c r="AL25" s="19">
        <f t="shared" si="37"/>
        <v>0</v>
      </c>
      <c r="AM25" s="17"/>
      <c r="AN25" s="18"/>
      <c r="AO25" s="199"/>
      <c r="AP25" s="20">
        <f t="shared" si="38"/>
        <v>0</v>
      </c>
      <c r="AQ25" s="17"/>
      <c r="AR25" s="18"/>
      <c r="AS25" s="18"/>
      <c r="AT25" s="20">
        <f t="shared" si="39"/>
        <v>0</v>
      </c>
      <c r="AU25" s="17"/>
      <c r="AV25" s="18"/>
      <c r="AW25" s="43"/>
      <c r="AX25" s="20">
        <f t="shared" si="40"/>
        <v>0</v>
      </c>
      <c r="AY25" s="17">
        <f t="shared" si="52"/>
        <v>0</v>
      </c>
      <c r="AZ25" s="18">
        <f t="shared" si="52"/>
        <v>0</v>
      </c>
      <c r="BA25" s="18">
        <f t="shared" si="52"/>
        <v>0</v>
      </c>
      <c r="BB25" s="19">
        <f t="shared" si="41"/>
        <v>0</v>
      </c>
      <c r="BC25" s="190">
        <f t="shared" si="23"/>
        <v>0</v>
      </c>
      <c r="BD25" s="84">
        <f t="shared" si="23"/>
        <v>0</v>
      </c>
      <c r="BE25" s="84">
        <f t="shared" si="23"/>
        <v>0</v>
      </c>
      <c r="BF25" s="170">
        <f t="shared" si="42"/>
        <v>0</v>
      </c>
      <c r="BG25" s="17"/>
      <c r="BH25" s="18"/>
      <c r="BI25" s="43"/>
      <c r="BJ25" s="41">
        <f t="shared" si="30"/>
        <v>0</v>
      </c>
      <c r="BK25" s="17"/>
      <c r="BL25" s="43"/>
      <c r="BM25" s="43"/>
      <c r="BN25" s="41">
        <f t="shared" si="43"/>
        <v>0</v>
      </c>
      <c r="BO25" s="17"/>
      <c r="BP25" s="43"/>
      <c r="BQ25" s="43"/>
      <c r="BR25" s="41">
        <f t="shared" si="44"/>
        <v>0</v>
      </c>
      <c r="BS25" s="17">
        <f t="shared" si="24"/>
        <v>0</v>
      </c>
      <c r="BT25" s="18">
        <f t="shared" si="24"/>
        <v>0</v>
      </c>
      <c r="BU25" s="18">
        <f t="shared" si="24"/>
        <v>0</v>
      </c>
      <c r="BV25" s="20">
        <f t="shared" si="45"/>
        <v>0</v>
      </c>
      <c r="BW25" s="17">
        <f t="shared" si="25"/>
        <v>0</v>
      </c>
      <c r="BX25" s="18">
        <f t="shared" si="25"/>
        <v>0</v>
      </c>
      <c r="BY25" s="18">
        <f t="shared" si="25"/>
        <v>0</v>
      </c>
      <c r="BZ25" s="20">
        <f t="shared" si="46"/>
        <v>0</v>
      </c>
      <c r="CA25" s="17">
        <f t="shared" si="53"/>
        <v>0</v>
      </c>
      <c r="CB25" s="18">
        <f t="shared" si="53"/>
        <v>0</v>
      </c>
      <c r="CC25" s="43">
        <f t="shared" si="53"/>
        <v>0</v>
      </c>
      <c r="CD25" s="20">
        <f t="shared" si="47"/>
        <v>0</v>
      </c>
      <c r="CF25" s="3"/>
      <c r="CJ25" s="91">
        <f t="shared" si="54"/>
        <v>0</v>
      </c>
      <c r="CK25" s="91">
        <f t="shared" si="54"/>
        <v>0</v>
      </c>
      <c r="CL25" s="91">
        <f t="shared" si="54"/>
        <v>0</v>
      </c>
      <c r="CM25" s="91">
        <f t="shared" si="54"/>
        <v>0</v>
      </c>
      <c r="CN25" s="91">
        <f t="shared" si="15"/>
        <v>0</v>
      </c>
      <c r="CO25" s="91">
        <f t="shared" si="15"/>
        <v>0</v>
      </c>
      <c r="CP25" s="91">
        <f t="shared" si="15"/>
        <v>0</v>
      </c>
      <c r="CQ25" s="91">
        <f t="shared" si="15"/>
        <v>0</v>
      </c>
    </row>
    <row r="26" spans="1:95" ht="16.5" x14ac:dyDescent="0.3">
      <c r="A26" s="9"/>
      <c r="B26" s="35" t="s">
        <v>41</v>
      </c>
      <c r="C26" s="168">
        <v>12150</v>
      </c>
      <c r="D26" s="18">
        <v>12150</v>
      </c>
      <c r="E26" s="199">
        <v>12150</v>
      </c>
      <c r="F26" s="170">
        <f t="shared" si="31"/>
        <v>0</v>
      </c>
      <c r="G26" s="83">
        <v>12150</v>
      </c>
      <c r="H26" s="18">
        <v>12150</v>
      </c>
      <c r="I26" s="43">
        <v>12150</v>
      </c>
      <c r="J26" s="19">
        <f t="shared" si="32"/>
        <v>0</v>
      </c>
      <c r="K26" s="17">
        <v>12150</v>
      </c>
      <c r="L26" s="18">
        <v>12150</v>
      </c>
      <c r="M26" s="43">
        <v>12150</v>
      </c>
      <c r="N26" s="31">
        <f t="shared" si="28"/>
        <v>0</v>
      </c>
      <c r="O26" s="17">
        <f t="shared" si="50"/>
        <v>36450</v>
      </c>
      <c r="P26" s="43">
        <f t="shared" si="19"/>
        <v>36450</v>
      </c>
      <c r="Q26" s="43">
        <f t="shared" si="19"/>
        <v>36450</v>
      </c>
      <c r="R26" s="19">
        <f t="shared" si="33"/>
        <v>0</v>
      </c>
      <c r="S26" s="17">
        <v>12150</v>
      </c>
      <c r="T26" s="18">
        <v>12150</v>
      </c>
      <c r="U26" s="43">
        <v>12150</v>
      </c>
      <c r="V26" s="19">
        <f t="shared" si="34"/>
        <v>0</v>
      </c>
      <c r="W26" s="17">
        <v>12150</v>
      </c>
      <c r="X26" s="18">
        <v>12150</v>
      </c>
      <c r="Y26" s="37">
        <v>12150</v>
      </c>
      <c r="Z26" s="18">
        <f t="shared" si="35"/>
        <v>0</v>
      </c>
      <c r="AA26" s="17">
        <v>12150</v>
      </c>
      <c r="AB26" s="18">
        <v>12150</v>
      </c>
      <c r="AC26" s="199">
        <v>12150</v>
      </c>
      <c r="AD26" s="19">
        <f t="shared" si="29"/>
        <v>0</v>
      </c>
      <c r="AE26" s="17">
        <f t="shared" si="20"/>
        <v>36450</v>
      </c>
      <c r="AF26" s="18">
        <f t="shared" si="20"/>
        <v>36450</v>
      </c>
      <c r="AG26" s="18">
        <f t="shared" si="20"/>
        <v>36450</v>
      </c>
      <c r="AH26" s="19">
        <f t="shared" si="36"/>
        <v>0</v>
      </c>
      <c r="AI26" s="17">
        <f t="shared" si="51"/>
        <v>72900</v>
      </c>
      <c r="AJ26" s="18">
        <f t="shared" si="51"/>
        <v>72900</v>
      </c>
      <c r="AK26" s="18">
        <f t="shared" si="51"/>
        <v>72900</v>
      </c>
      <c r="AL26" s="19">
        <f t="shared" si="37"/>
        <v>0</v>
      </c>
      <c r="AM26" s="17">
        <v>12150</v>
      </c>
      <c r="AN26" s="18">
        <v>12150</v>
      </c>
      <c r="AO26" s="199">
        <v>12150</v>
      </c>
      <c r="AP26" s="20">
        <f t="shared" si="38"/>
        <v>0</v>
      </c>
      <c r="AQ26" s="17">
        <v>12150</v>
      </c>
      <c r="AR26" s="18">
        <v>12150</v>
      </c>
      <c r="AS26" s="18">
        <v>12150</v>
      </c>
      <c r="AT26" s="20">
        <f t="shared" si="39"/>
        <v>0</v>
      </c>
      <c r="AU26" s="17">
        <v>12150</v>
      </c>
      <c r="AV26" s="18">
        <v>12150</v>
      </c>
      <c r="AW26" s="43">
        <v>12150</v>
      </c>
      <c r="AX26" s="20">
        <f t="shared" si="40"/>
        <v>0</v>
      </c>
      <c r="AY26" s="17">
        <f t="shared" si="52"/>
        <v>36450</v>
      </c>
      <c r="AZ26" s="18">
        <f t="shared" si="52"/>
        <v>36450</v>
      </c>
      <c r="BA26" s="18">
        <f t="shared" si="52"/>
        <v>36450</v>
      </c>
      <c r="BB26" s="19">
        <f t="shared" si="41"/>
        <v>0</v>
      </c>
      <c r="BC26" s="190">
        <f t="shared" si="23"/>
        <v>109350</v>
      </c>
      <c r="BD26" s="84">
        <f t="shared" si="23"/>
        <v>109350</v>
      </c>
      <c r="BE26" s="84">
        <f t="shared" si="23"/>
        <v>109350</v>
      </c>
      <c r="BF26" s="170">
        <f t="shared" si="42"/>
        <v>0</v>
      </c>
      <c r="BG26" s="17">
        <v>12150</v>
      </c>
      <c r="BH26" s="18">
        <v>12150</v>
      </c>
      <c r="BI26" s="43">
        <v>12150</v>
      </c>
      <c r="BJ26" s="41">
        <f t="shared" si="30"/>
        <v>0</v>
      </c>
      <c r="BK26" s="17">
        <v>12150</v>
      </c>
      <c r="BL26" s="43">
        <v>12150</v>
      </c>
      <c r="BM26" s="43">
        <v>12150</v>
      </c>
      <c r="BN26" s="41">
        <f t="shared" si="43"/>
        <v>0</v>
      </c>
      <c r="BO26" s="17">
        <v>12150</v>
      </c>
      <c r="BP26" s="43">
        <v>12150</v>
      </c>
      <c r="BQ26" s="43">
        <v>12150</v>
      </c>
      <c r="BR26" s="41">
        <f t="shared" si="44"/>
        <v>0</v>
      </c>
      <c r="BS26" s="17">
        <f t="shared" si="24"/>
        <v>36450</v>
      </c>
      <c r="BT26" s="18">
        <f t="shared" si="24"/>
        <v>36450</v>
      </c>
      <c r="BU26" s="18">
        <f t="shared" si="24"/>
        <v>36450</v>
      </c>
      <c r="BV26" s="20">
        <f t="shared" si="45"/>
        <v>0</v>
      </c>
      <c r="BW26" s="17">
        <f t="shared" si="25"/>
        <v>72900</v>
      </c>
      <c r="BX26" s="18">
        <f t="shared" si="25"/>
        <v>72900</v>
      </c>
      <c r="BY26" s="18">
        <f t="shared" si="25"/>
        <v>72900</v>
      </c>
      <c r="BZ26" s="20">
        <f t="shared" si="46"/>
        <v>0</v>
      </c>
      <c r="CA26" s="17">
        <f t="shared" si="53"/>
        <v>145800</v>
      </c>
      <c r="CB26" s="18">
        <f t="shared" si="53"/>
        <v>145800</v>
      </c>
      <c r="CC26" s="43">
        <f t="shared" si="53"/>
        <v>145800</v>
      </c>
      <c r="CD26" s="20">
        <f t="shared" si="47"/>
        <v>0</v>
      </c>
      <c r="CF26" s="3"/>
      <c r="CJ26" s="91">
        <f t="shared" si="54"/>
        <v>36450</v>
      </c>
      <c r="CK26" s="91">
        <f t="shared" si="54"/>
        <v>36450</v>
      </c>
      <c r="CL26" s="91">
        <f t="shared" si="54"/>
        <v>36450</v>
      </c>
      <c r="CM26" s="91">
        <f t="shared" si="54"/>
        <v>0</v>
      </c>
      <c r="CN26" s="91">
        <f t="shared" si="15"/>
        <v>145800</v>
      </c>
      <c r="CO26" s="91">
        <f t="shared" si="15"/>
        <v>145800</v>
      </c>
      <c r="CP26" s="91">
        <f t="shared" si="15"/>
        <v>145800</v>
      </c>
      <c r="CQ26" s="91">
        <f t="shared" si="15"/>
        <v>0</v>
      </c>
    </row>
    <row r="27" spans="1:95" ht="16.5" x14ac:dyDescent="0.3">
      <c r="A27" s="9">
        <v>5</v>
      </c>
      <c r="B27" s="97" t="s">
        <v>42</v>
      </c>
      <c r="C27" s="168">
        <f>C28+C29+C30+C31</f>
        <v>11522.369999999999</v>
      </c>
      <c r="D27" s="168">
        <f>D28+D29+D30+D31</f>
        <v>28963.17</v>
      </c>
      <c r="E27" s="168">
        <f>E28+E29+E30+E31</f>
        <v>32490.829999999998</v>
      </c>
      <c r="F27" s="170">
        <f t="shared" si="31"/>
        <v>17440.8</v>
      </c>
      <c r="G27" s="89">
        <f>G28+G29+G30+G31</f>
        <v>11522.369999999999</v>
      </c>
      <c r="H27" s="89">
        <f>H28+H29+H30+H31</f>
        <v>6351.95</v>
      </c>
      <c r="I27" s="89">
        <f>I28+I29+I30+I31</f>
        <v>6351.95</v>
      </c>
      <c r="J27" s="19">
        <f t="shared" si="32"/>
        <v>-5170.4199999999992</v>
      </c>
      <c r="K27" s="31">
        <f>K28+K29+K30+K31</f>
        <v>11522.369999999999</v>
      </c>
      <c r="L27" s="31">
        <f>L28+L29+L30+L31</f>
        <v>49262.07</v>
      </c>
      <c r="M27" s="31">
        <f>M28+M29+M30+M31</f>
        <v>41424.050000000003</v>
      </c>
      <c r="N27" s="31">
        <f t="shared" si="28"/>
        <v>37739.699999999997</v>
      </c>
      <c r="O27" s="25">
        <f t="shared" si="50"/>
        <v>34567.11</v>
      </c>
      <c r="P27" s="95">
        <f t="shared" ref="P27:Q31" si="55">L27+H27+D27</f>
        <v>84577.19</v>
      </c>
      <c r="Q27" s="95">
        <f>M27+I27+E27</f>
        <v>80266.83</v>
      </c>
      <c r="R27" s="30">
        <f t="shared" si="33"/>
        <v>50010.080000000002</v>
      </c>
      <c r="S27" s="31">
        <f>S28+S29+S30+S31</f>
        <v>11522.369999999999</v>
      </c>
      <c r="T27" s="31">
        <f>T28+T29+T30+T31</f>
        <v>35662.089999999997</v>
      </c>
      <c r="U27" s="31">
        <f>U28+U29+U30+U31</f>
        <v>38036.11</v>
      </c>
      <c r="V27" s="30">
        <f t="shared" si="34"/>
        <v>24139.719999999998</v>
      </c>
      <c r="W27" s="25">
        <f>W28+W29+W30+W31</f>
        <v>11522.369999999999</v>
      </c>
      <c r="X27" s="25">
        <f>X28+X29+X30+X31</f>
        <v>30963</v>
      </c>
      <c r="Y27" s="25">
        <f>Y28+Y29+Y30+Y31</f>
        <v>36425</v>
      </c>
      <c r="Z27" s="31">
        <f t="shared" si="35"/>
        <v>19440.63</v>
      </c>
      <c r="AA27" s="89">
        <f>AA28+AA29+AA30+AA31</f>
        <v>11522.369999999999</v>
      </c>
      <c r="AB27" s="89">
        <f>AB28+AB29+AB30+AB31</f>
        <v>46667.619999999995</v>
      </c>
      <c r="AC27" s="89">
        <f>AC28+AC29+AC30+AC31</f>
        <v>46667.619999999995</v>
      </c>
      <c r="AD27" s="30">
        <f t="shared" si="29"/>
        <v>35145.25</v>
      </c>
      <c r="AE27" s="25">
        <f t="shared" ref="AE27:AG31" si="56">S27+W27+AA27</f>
        <v>34567.11</v>
      </c>
      <c r="AF27" s="25">
        <f t="shared" si="56"/>
        <v>113292.70999999999</v>
      </c>
      <c r="AG27" s="25">
        <f>U27+Y27+AC27</f>
        <v>121128.73</v>
      </c>
      <c r="AH27" s="19">
        <f t="shared" si="36"/>
        <v>78725.599999999991</v>
      </c>
      <c r="AI27" s="25">
        <f>AE27+O27</f>
        <v>69134.22</v>
      </c>
      <c r="AJ27" s="25">
        <f t="shared" si="51"/>
        <v>197869.9</v>
      </c>
      <c r="AK27" s="25">
        <f>AG27+Q27</f>
        <v>201395.56</v>
      </c>
      <c r="AL27" s="30">
        <f t="shared" si="37"/>
        <v>128735.67999999999</v>
      </c>
      <c r="AM27" s="25">
        <f>AM28+AM29+AM30+AM31</f>
        <v>11522.369999999999</v>
      </c>
      <c r="AN27" s="25">
        <f>AN28+AN29+AN30+AN31</f>
        <v>32468.66</v>
      </c>
      <c r="AO27" s="25">
        <f>AO28+AO29+AO30+AO31</f>
        <v>32468.66</v>
      </c>
      <c r="AP27" s="32">
        <f t="shared" si="38"/>
        <v>20946.29</v>
      </c>
      <c r="AQ27" s="25">
        <f>AQ28+AQ29+AQ30+AQ31</f>
        <v>11522.369999999999</v>
      </c>
      <c r="AR27" s="25">
        <f>AR28+AR29+AR30+AR31</f>
        <v>24688.97</v>
      </c>
      <c r="AS27" s="25">
        <f>AS28+AS29+AS30+AS31</f>
        <v>24688.97</v>
      </c>
      <c r="AT27" s="32">
        <f t="shared" si="39"/>
        <v>13166.600000000002</v>
      </c>
      <c r="AU27" s="25">
        <f>AU28+AU29+AU30+AU31</f>
        <v>11522.369999999999</v>
      </c>
      <c r="AV27" s="25">
        <f>AV28+AV29+AV30+AV31</f>
        <v>26392.7</v>
      </c>
      <c r="AW27" s="25">
        <f>AW28+AW29+AW30+AW31</f>
        <v>26392.7</v>
      </c>
      <c r="AX27" s="32">
        <f t="shared" si="40"/>
        <v>14870.330000000002</v>
      </c>
      <c r="AY27" s="25">
        <f t="shared" si="52"/>
        <v>34567.11</v>
      </c>
      <c r="AZ27" s="25">
        <f>AN27+AR27+AV27</f>
        <v>83550.33</v>
      </c>
      <c r="BA27" s="25">
        <f>AO27+AS27+AW27</f>
        <v>83550.33</v>
      </c>
      <c r="BB27" s="30">
        <f t="shared" si="41"/>
        <v>48983.22</v>
      </c>
      <c r="BC27" s="191">
        <f t="shared" ref="BC27:BE31" si="57">(AI27+AY27)</f>
        <v>103701.33</v>
      </c>
      <c r="BD27" s="96">
        <f t="shared" si="57"/>
        <v>281420.23</v>
      </c>
      <c r="BE27" s="96">
        <f>(AK27+BA27)</f>
        <v>284945.89</v>
      </c>
      <c r="BF27" s="178">
        <f t="shared" si="42"/>
        <v>177718.89999999997</v>
      </c>
      <c r="BG27" s="89">
        <f>BG28+BG29+BG30+BG31</f>
        <v>11522.369999999999</v>
      </c>
      <c r="BH27" s="89">
        <f>BH28+BH29+BH30+BH31</f>
        <v>51921.78</v>
      </c>
      <c r="BI27" s="89">
        <f>BI28+BI29+BI30+BI31</f>
        <v>51921.78</v>
      </c>
      <c r="BJ27" s="27">
        <f t="shared" si="30"/>
        <v>40399.410000000003</v>
      </c>
      <c r="BK27" s="90">
        <f>BK28+BK29+BK30+BK31</f>
        <v>11522.369999999999</v>
      </c>
      <c r="BL27" s="90">
        <f>BL28+BL29+BL30+BL31</f>
        <v>5447</v>
      </c>
      <c r="BM27" s="90">
        <f>BM28+BM29+BM30+BM31</f>
        <v>5447</v>
      </c>
      <c r="BN27" s="27">
        <f t="shared" si="43"/>
        <v>-6075.369999999999</v>
      </c>
      <c r="BO27" s="90">
        <f>BO28+BO29+BO30+BO31</f>
        <v>11522.369999999999</v>
      </c>
      <c r="BP27" s="90">
        <f>BP28+BP29+BP30+BP31</f>
        <v>7400</v>
      </c>
      <c r="BQ27" s="90">
        <f>BQ28+BQ29+BQ30+BQ31</f>
        <v>7400</v>
      </c>
      <c r="BR27" s="27">
        <f t="shared" si="44"/>
        <v>-4122.369999999999</v>
      </c>
      <c r="BS27" s="25">
        <f t="shared" ref="BS27:BU42" si="58">BG27+BK27+BO27</f>
        <v>34567.11</v>
      </c>
      <c r="BT27" s="31">
        <f t="shared" si="58"/>
        <v>64768.78</v>
      </c>
      <c r="BU27" s="31">
        <f>BI27+BM27+BQ27</f>
        <v>64768.78</v>
      </c>
      <c r="BV27" s="32">
        <f t="shared" si="45"/>
        <v>30201.67</v>
      </c>
      <c r="BW27" s="25">
        <f>BS27+AY27</f>
        <v>69134.22</v>
      </c>
      <c r="BX27" s="25">
        <f t="shared" ref="BX27:BY31" si="59">BT27+AZ27</f>
        <v>148319.10999999999</v>
      </c>
      <c r="BY27" s="25">
        <f>BU27+BA27</f>
        <v>148319.10999999999</v>
      </c>
      <c r="BZ27" s="32">
        <f t="shared" si="46"/>
        <v>79184.889999999985</v>
      </c>
      <c r="CA27" s="25">
        <f t="shared" si="53"/>
        <v>138268.44</v>
      </c>
      <c r="CB27" s="25">
        <f>BX27+AJ27</f>
        <v>346189.01</v>
      </c>
      <c r="CC27" s="25">
        <f>BY27+AK27</f>
        <v>349714.67</v>
      </c>
      <c r="CD27" s="32">
        <f t="shared" si="47"/>
        <v>207920.57</v>
      </c>
      <c r="CF27" s="3"/>
      <c r="CJ27" s="208">
        <f>SUM(CJ28:CJ31)</f>
        <v>34567.11</v>
      </c>
      <c r="CK27" s="208">
        <f>SUM(CK28:CK31)</f>
        <v>64768.78</v>
      </c>
      <c r="CL27" s="208">
        <f>SUM(CL28:CL31)</f>
        <v>64768.78</v>
      </c>
      <c r="CM27" s="208">
        <f>SUM(CM28:CM31)</f>
        <v>30201.670000000002</v>
      </c>
      <c r="CN27" s="208">
        <f t="shared" si="15"/>
        <v>138268.44</v>
      </c>
      <c r="CO27" s="208">
        <f t="shared" si="15"/>
        <v>346189.01</v>
      </c>
      <c r="CP27" s="208">
        <f t="shared" si="15"/>
        <v>349714.67000000004</v>
      </c>
      <c r="CQ27" s="208">
        <f t="shared" si="15"/>
        <v>207920.57</v>
      </c>
    </row>
    <row r="28" spans="1:95" ht="16.5" x14ac:dyDescent="0.3">
      <c r="A28" s="9"/>
      <c r="B28" s="35" t="s">
        <v>43</v>
      </c>
      <c r="C28" s="174">
        <v>6056.37</v>
      </c>
      <c r="D28" s="18"/>
      <c r="E28" s="199">
        <v>3527.66</v>
      </c>
      <c r="F28" s="170">
        <f t="shared" si="31"/>
        <v>-6056.37</v>
      </c>
      <c r="G28" s="83">
        <v>6056.37</v>
      </c>
      <c r="H28" s="18"/>
      <c r="I28" s="43"/>
      <c r="J28" s="19">
        <f t="shared" si="32"/>
        <v>-6056.37</v>
      </c>
      <c r="K28" s="17">
        <v>6056.37</v>
      </c>
      <c r="L28" s="18">
        <v>16523.75</v>
      </c>
      <c r="M28" s="43">
        <v>8685.73</v>
      </c>
      <c r="N28" s="19"/>
      <c r="O28" s="17">
        <f>C28+G28+K28</f>
        <v>18169.11</v>
      </c>
      <c r="P28" s="43">
        <f t="shared" si="55"/>
        <v>16523.75</v>
      </c>
      <c r="Q28" s="43">
        <f t="shared" si="55"/>
        <v>12213.39</v>
      </c>
      <c r="R28" s="19">
        <f t="shared" si="33"/>
        <v>-1645.3600000000006</v>
      </c>
      <c r="S28" s="17">
        <v>6056.37</v>
      </c>
      <c r="T28" s="18"/>
      <c r="U28" s="43">
        <v>7838.02</v>
      </c>
      <c r="V28" s="19">
        <f t="shared" si="34"/>
        <v>-6056.37</v>
      </c>
      <c r="W28" s="17">
        <v>6056.37</v>
      </c>
      <c r="X28" s="18"/>
      <c r="Y28" s="37"/>
      <c r="Z28" s="18">
        <f t="shared" si="35"/>
        <v>-6056.37</v>
      </c>
      <c r="AA28" s="17">
        <v>6056.37</v>
      </c>
      <c r="AB28" s="18">
        <v>16523.75</v>
      </c>
      <c r="AC28" s="199">
        <v>16523.75</v>
      </c>
      <c r="AD28" s="19">
        <f t="shared" si="29"/>
        <v>10467.380000000001</v>
      </c>
      <c r="AE28" s="17">
        <f t="shared" si="56"/>
        <v>18169.11</v>
      </c>
      <c r="AF28" s="18">
        <f t="shared" si="56"/>
        <v>16523.75</v>
      </c>
      <c r="AG28" s="18">
        <f t="shared" si="56"/>
        <v>24361.77</v>
      </c>
      <c r="AH28" s="19">
        <f t="shared" si="36"/>
        <v>-1645.3600000000006</v>
      </c>
      <c r="AI28" s="17">
        <f t="shared" ref="AI28:AK31" si="60">AE28+O28</f>
        <v>36338.22</v>
      </c>
      <c r="AJ28" s="18">
        <f t="shared" si="60"/>
        <v>33047.5</v>
      </c>
      <c r="AK28" s="18">
        <f t="shared" si="60"/>
        <v>36575.160000000003</v>
      </c>
      <c r="AL28" s="19">
        <f t="shared" si="37"/>
        <v>-3290.7200000000012</v>
      </c>
      <c r="AM28" s="17">
        <v>6056.37</v>
      </c>
      <c r="AN28" s="18"/>
      <c r="AO28" s="199"/>
      <c r="AP28" s="20">
        <f t="shared" si="38"/>
        <v>-6056.37</v>
      </c>
      <c r="AQ28" s="17">
        <v>6056.37</v>
      </c>
      <c r="AR28" s="18"/>
      <c r="AS28" s="18"/>
      <c r="AT28" s="20">
        <f t="shared" si="39"/>
        <v>-6056.37</v>
      </c>
      <c r="AU28" s="17">
        <v>6056.37</v>
      </c>
      <c r="AV28" s="18"/>
      <c r="AW28" s="43"/>
      <c r="AX28" s="20">
        <f t="shared" si="40"/>
        <v>-6056.37</v>
      </c>
      <c r="AY28" s="17">
        <f t="shared" si="52"/>
        <v>18169.11</v>
      </c>
      <c r="AZ28" s="18">
        <f t="shared" si="52"/>
        <v>0</v>
      </c>
      <c r="BA28" s="18">
        <f t="shared" si="52"/>
        <v>0</v>
      </c>
      <c r="BB28" s="19">
        <f t="shared" si="41"/>
        <v>-18169.11</v>
      </c>
      <c r="BC28" s="190">
        <f t="shared" si="57"/>
        <v>54507.33</v>
      </c>
      <c r="BD28" s="84">
        <f t="shared" si="57"/>
        <v>33047.5</v>
      </c>
      <c r="BE28" s="84">
        <f t="shared" si="57"/>
        <v>36575.160000000003</v>
      </c>
      <c r="BF28" s="170">
        <f t="shared" si="42"/>
        <v>-21459.83</v>
      </c>
      <c r="BG28" s="17">
        <v>6056.37</v>
      </c>
      <c r="BH28" s="18">
        <v>22031.67</v>
      </c>
      <c r="BI28" s="43">
        <v>22031.67</v>
      </c>
      <c r="BJ28" s="41">
        <f t="shared" si="30"/>
        <v>15975.3</v>
      </c>
      <c r="BK28" s="17">
        <v>6056.37</v>
      </c>
      <c r="BL28" s="43"/>
      <c r="BM28" s="43"/>
      <c r="BN28" s="41">
        <f t="shared" si="43"/>
        <v>-6056.37</v>
      </c>
      <c r="BO28" s="17">
        <v>6056.37</v>
      </c>
      <c r="BP28" s="43"/>
      <c r="BQ28" s="43"/>
      <c r="BR28" s="41">
        <f t="shared" si="44"/>
        <v>-6056.37</v>
      </c>
      <c r="BS28" s="17">
        <f t="shared" si="58"/>
        <v>18169.11</v>
      </c>
      <c r="BT28" s="18">
        <f t="shared" si="58"/>
        <v>22031.67</v>
      </c>
      <c r="BU28" s="18">
        <f t="shared" si="58"/>
        <v>22031.67</v>
      </c>
      <c r="BV28" s="20">
        <f t="shared" si="45"/>
        <v>3862.5599999999977</v>
      </c>
      <c r="BW28" s="17">
        <f>BS28+AY28</f>
        <v>36338.22</v>
      </c>
      <c r="BX28" s="18">
        <f t="shared" si="59"/>
        <v>22031.67</v>
      </c>
      <c r="BY28" s="18">
        <f t="shared" si="59"/>
        <v>22031.67</v>
      </c>
      <c r="BZ28" s="20">
        <f t="shared" si="46"/>
        <v>-14306.550000000003</v>
      </c>
      <c r="CA28" s="17">
        <f t="shared" si="53"/>
        <v>72676.44</v>
      </c>
      <c r="CB28" s="18">
        <f t="shared" si="53"/>
        <v>55079.17</v>
      </c>
      <c r="CC28" s="43">
        <f t="shared" si="53"/>
        <v>58606.83</v>
      </c>
      <c r="CD28" s="20">
        <f t="shared" si="47"/>
        <v>-17597.270000000004</v>
      </c>
      <c r="CF28" s="3"/>
      <c r="CJ28" s="91">
        <f t="shared" ref="CJ28:CM31" si="61">BG28+BK28+BO28</f>
        <v>18169.11</v>
      </c>
      <c r="CK28" s="91">
        <f t="shared" si="61"/>
        <v>22031.67</v>
      </c>
      <c r="CL28" s="91">
        <f t="shared" si="61"/>
        <v>22031.67</v>
      </c>
      <c r="CM28" s="91">
        <f t="shared" si="61"/>
        <v>3862.5600000000004</v>
      </c>
      <c r="CN28" s="91">
        <f t="shared" si="15"/>
        <v>72676.44</v>
      </c>
      <c r="CO28" s="91">
        <f t="shared" si="15"/>
        <v>55079.17</v>
      </c>
      <c r="CP28" s="91">
        <f t="shared" si="15"/>
        <v>58606.83</v>
      </c>
      <c r="CQ28" s="91">
        <f t="shared" si="15"/>
        <v>-17597.27</v>
      </c>
    </row>
    <row r="29" spans="1:95" ht="16.5" x14ac:dyDescent="0.3">
      <c r="A29" s="9"/>
      <c r="B29" s="35" t="s">
        <v>44</v>
      </c>
      <c r="C29" s="174">
        <v>5466</v>
      </c>
      <c r="D29" s="43">
        <v>5457</v>
      </c>
      <c r="E29" s="199">
        <v>5457</v>
      </c>
      <c r="F29" s="170">
        <f t="shared" si="31"/>
        <v>-9</v>
      </c>
      <c r="G29" s="83">
        <v>5466</v>
      </c>
      <c r="H29" s="43">
        <v>5461</v>
      </c>
      <c r="I29" s="43">
        <v>5461</v>
      </c>
      <c r="J29" s="19">
        <f t="shared" si="32"/>
        <v>-5</v>
      </c>
      <c r="K29" s="17">
        <v>5466</v>
      </c>
      <c r="L29" s="18">
        <v>5464</v>
      </c>
      <c r="M29" s="43">
        <v>5464</v>
      </c>
      <c r="N29" s="19"/>
      <c r="O29" s="17">
        <f t="shared" ref="O29:O31" si="62">C29+G29+K29</f>
        <v>16398</v>
      </c>
      <c r="P29" s="43">
        <f t="shared" si="55"/>
        <v>16382</v>
      </c>
      <c r="Q29" s="43">
        <f t="shared" si="55"/>
        <v>16382</v>
      </c>
      <c r="R29" s="19">
        <f t="shared" si="33"/>
        <v>-16</v>
      </c>
      <c r="S29" s="17">
        <v>5466</v>
      </c>
      <c r="T29" s="18">
        <v>5464</v>
      </c>
      <c r="U29" s="98"/>
      <c r="V29" s="19">
        <f t="shared" si="34"/>
        <v>-2</v>
      </c>
      <c r="W29" s="17">
        <v>5466</v>
      </c>
      <c r="X29" s="18">
        <v>5463</v>
      </c>
      <c r="Y29" s="37">
        <v>10925</v>
      </c>
      <c r="Z29" s="18">
        <f t="shared" si="35"/>
        <v>-3</v>
      </c>
      <c r="AA29" s="17">
        <v>5466</v>
      </c>
      <c r="AB29" s="18">
        <v>5466</v>
      </c>
      <c r="AC29" s="199">
        <v>5466</v>
      </c>
      <c r="AD29" s="19">
        <f t="shared" si="29"/>
        <v>0</v>
      </c>
      <c r="AE29" s="17">
        <f t="shared" si="56"/>
        <v>16398</v>
      </c>
      <c r="AF29" s="18">
        <f t="shared" si="56"/>
        <v>16393</v>
      </c>
      <c r="AG29" s="18">
        <f t="shared" si="56"/>
        <v>16391</v>
      </c>
      <c r="AH29" s="19">
        <f t="shared" si="36"/>
        <v>-5</v>
      </c>
      <c r="AI29" s="17">
        <f t="shared" si="60"/>
        <v>32796</v>
      </c>
      <c r="AJ29" s="18">
        <f t="shared" si="60"/>
        <v>32775</v>
      </c>
      <c r="AK29" s="18">
        <f t="shared" si="60"/>
        <v>32773</v>
      </c>
      <c r="AL29" s="19">
        <f t="shared" si="37"/>
        <v>-21</v>
      </c>
      <c r="AM29" s="17">
        <v>5466</v>
      </c>
      <c r="AN29" s="18">
        <v>5460</v>
      </c>
      <c r="AO29" s="199">
        <v>5460</v>
      </c>
      <c r="AP29" s="20">
        <f t="shared" si="38"/>
        <v>-6</v>
      </c>
      <c r="AQ29" s="17">
        <v>5466</v>
      </c>
      <c r="AR29" s="43">
        <v>5454</v>
      </c>
      <c r="AS29" s="18">
        <v>5454</v>
      </c>
      <c r="AT29" s="20">
        <f t="shared" si="39"/>
        <v>-12</v>
      </c>
      <c r="AU29" s="17">
        <v>5466</v>
      </c>
      <c r="AV29" s="18">
        <v>5455</v>
      </c>
      <c r="AW29" s="43">
        <v>5455</v>
      </c>
      <c r="AX29" s="20">
        <f t="shared" si="40"/>
        <v>-11</v>
      </c>
      <c r="AY29" s="17">
        <f t="shared" si="52"/>
        <v>16398</v>
      </c>
      <c r="AZ29" s="18">
        <f t="shared" si="52"/>
        <v>16369</v>
      </c>
      <c r="BA29" s="18">
        <f t="shared" si="52"/>
        <v>16369</v>
      </c>
      <c r="BB29" s="19">
        <f t="shared" si="41"/>
        <v>-29</v>
      </c>
      <c r="BC29" s="190">
        <f t="shared" si="57"/>
        <v>49194</v>
      </c>
      <c r="BD29" s="84">
        <f t="shared" si="57"/>
        <v>49144</v>
      </c>
      <c r="BE29" s="84">
        <f t="shared" si="57"/>
        <v>49142</v>
      </c>
      <c r="BF29" s="170">
        <f t="shared" si="42"/>
        <v>-50</v>
      </c>
      <c r="BG29" s="17">
        <v>5466</v>
      </c>
      <c r="BH29" s="18">
        <v>5455</v>
      </c>
      <c r="BI29" s="43">
        <v>5455</v>
      </c>
      <c r="BJ29" s="41">
        <f t="shared" si="30"/>
        <v>-11</v>
      </c>
      <c r="BK29" s="17">
        <v>5466</v>
      </c>
      <c r="BL29" s="43">
        <v>5447</v>
      </c>
      <c r="BM29" s="43">
        <v>5447</v>
      </c>
      <c r="BN29" s="41">
        <f t="shared" si="43"/>
        <v>-19</v>
      </c>
      <c r="BO29" s="17">
        <v>5466</v>
      </c>
      <c r="BP29" s="43">
        <v>5450</v>
      </c>
      <c r="BQ29" s="43">
        <v>5450</v>
      </c>
      <c r="BR29" s="41">
        <f t="shared" si="44"/>
        <v>-16</v>
      </c>
      <c r="BS29" s="17">
        <f t="shared" si="58"/>
        <v>16398</v>
      </c>
      <c r="BT29" s="18">
        <f t="shared" si="58"/>
        <v>16352</v>
      </c>
      <c r="BU29" s="18">
        <f t="shared" si="58"/>
        <v>16352</v>
      </c>
      <c r="BV29" s="20">
        <f t="shared" si="45"/>
        <v>-46</v>
      </c>
      <c r="BW29" s="17">
        <f>BS29+AY29</f>
        <v>32796</v>
      </c>
      <c r="BX29" s="18">
        <f t="shared" si="59"/>
        <v>32721</v>
      </c>
      <c r="BY29" s="18">
        <f t="shared" si="59"/>
        <v>32721</v>
      </c>
      <c r="BZ29" s="20">
        <f t="shared" si="46"/>
        <v>-75</v>
      </c>
      <c r="CA29" s="17">
        <f t="shared" si="53"/>
        <v>65592</v>
      </c>
      <c r="CB29" s="18">
        <f t="shared" si="53"/>
        <v>65496</v>
      </c>
      <c r="CC29" s="43">
        <f t="shared" si="53"/>
        <v>65494</v>
      </c>
      <c r="CD29" s="20">
        <f t="shared" si="47"/>
        <v>-96</v>
      </c>
      <c r="CF29" s="3"/>
      <c r="CJ29" s="91">
        <f t="shared" si="61"/>
        <v>16398</v>
      </c>
      <c r="CK29" s="91">
        <f t="shared" si="61"/>
        <v>16352</v>
      </c>
      <c r="CL29" s="91">
        <f t="shared" si="61"/>
        <v>16352</v>
      </c>
      <c r="CM29" s="91">
        <f t="shared" si="61"/>
        <v>-46</v>
      </c>
      <c r="CN29" s="91">
        <f t="shared" si="15"/>
        <v>65592</v>
      </c>
      <c r="CO29" s="91">
        <f t="shared" si="15"/>
        <v>65496</v>
      </c>
      <c r="CP29" s="91">
        <f t="shared" si="15"/>
        <v>65494</v>
      </c>
      <c r="CQ29" s="91">
        <f t="shared" si="15"/>
        <v>-96</v>
      </c>
    </row>
    <row r="30" spans="1:95" ht="16.5" x14ac:dyDescent="0.3">
      <c r="A30" s="9"/>
      <c r="B30" s="99" t="s">
        <v>45</v>
      </c>
      <c r="C30" s="168"/>
      <c r="D30" s="18">
        <v>23506.17</v>
      </c>
      <c r="E30" s="199">
        <v>23506.17</v>
      </c>
      <c r="F30" s="170">
        <f t="shared" si="31"/>
        <v>23506.17</v>
      </c>
      <c r="G30" s="83"/>
      <c r="H30" s="18">
        <f>890.95</f>
        <v>890.95</v>
      </c>
      <c r="I30" s="43">
        <f>890.95</f>
        <v>890.95</v>
      </c>
      <c r="J30" s="18">
        <f t="shared" si="32"/>
        <v>890.95</v>
      </c>
      <c r="K30" s="83"/>
      <c r="L30" s="18">
        <v>27274.32</v>
      </c>
      <c r="M30" s="43">
        <v>27274.32</v>
      </c>
      <c r="N30" s="19"/>
      <c r="O30" s="17">
        <f t="shared" si="62"/>
        <v>0</v>
      </c>
      <c r="P30" s="43">
        <f t="shared" si="55"/>
        <v>51671.44</v>
      </c>
      <c r="Q30" s="43">
        <f t="shared" si="55"/>
        <v>51671.44</v>
      </c>
      <c r="R30" s="19">
        <f t="shared" si="33"/>
        <v>51671.44</v>
      </c>
      <c r="S30" s="83"/>
      <c r="T30" s="18">
        <v>25198.09</v>
      </c>
      <c r="U30" s="43">
        <v>25198.09</v>
      </c>
      <c r="V30" s="19">
        <f t="shared" si="34"/>
        <v>25198.09</v>
      </c>
      <c r="W30" s="18"/>
      <c r="X30" s="18">
        <v>25500</v>
      </c>
      <c r="Y30" s="37">
        <v>25500</v>
      </c>
      <c r="Z30" s="18">
        <f t="shared" si="35"/>
        <v>25500</v>
      </c>
      <c r="AA30" s="83"/>
      <c r="AB30" s="18">
        <v>24677.87</v>
      </c>
      <c r="AC30" s="43">
        <v>24677.87</v>
      </c>
      <c r="AD30" s="19">
        <f t="shared" si="29"/>
        <v>24677.87</v>
      </c>
      <c r="AE30" s="17">
        <f t="shared" si="56"/>
        <v>0</v>
      </c>
      <c r="AF30" s="18">
        <f t="shared" si="56"/>
        <v>75375.959999999992</v>
      </c>
      <c r="AG30" s="18">
        <f t="shared" si="56"/>
        <v>75375.959999999992</v>
      </c>
      <c r="AH30" s="19">
        <f t="shared" si="36"/>
        <v>75375.959999999992</v>
      </c>
      <c r="AI30" s="17">
        <f t="shared" si="60"/>
        <v>0</v>
      </c>
      <c r="AJ30" s="18">
        <f t="shared" si="60"/>
        <v>127047.4</v>
      </c>
      <c r="AK30" s="18">
        <f t="shared" si="60"/>
        <v>127047.4</v>
      </c>
      <c r="AL30" s="19">
        <f>AJ30-AI30</f>
        <v>127047.4</v>
      </c>
      <c r="AM30" s="17"/>
      <c r="AN30" s="18">
        <v>25494.54</v>
      </c>
      <c r="AO30" s="199">
        <v>25494.54</v>
      </c>
      <c r="AP30" s="20"/>
      <c r="AQ30" s="17"/>
      <c r="AR30" s="43">
        <v>19234.97</v>
      </c>
      <c r="AS30" s="43">
        <v>19234.97</v>
      </c>
      <c r="AT30" s="20">
        <f>AR30-AQ30</f>
        <v>19234.97</v>
      </c>
      <c r="AU30" s="17"/>
      <c r="AV30" s="18">
        <v>20937.7</v>
      </c>
      <c r="AW30" s="18">
        <v>20937.7</v>
      </c>
      <c r="AX30" s="20"/>
      <c r="AY30" s="17">
        <f t="shared" si="52"/>
        <v>0</v>
      </c>
      <c r="AZ30" s="18">
        <f>AN30+AR30+AV30</f>
        <v>65667.210000000006</v>
      </c>
      <c r="BA30" s="18">
        <f>AO30+AS30+AW30</f>
        <v>65667.210000000006</v>
      </c>
      <c r="BB30" s="19">
        <f>AZ30-AY30</f>
        <v>65667.210000000006</v>
      </c>
      <c r="BC30" s="190">
        <f t="shared" si="57"/>
        <v>0</v>
      </c>
      <c r="BD30" s="84">
        <f t="shared" si="57"/>
        <v>192714.61</v>
      </c>
      <c r="BE30" s="84">
        <f t="shared" si="57"/>
        <v>192714.61</v>
      </c>
      <c r="BF30" s="170">
        <f t="shared" si="42"/>
        <v>192714.61</v>
      </c>
      <c r="BG30" s="83"/>
      <c r="BH30" s="18">
        <v>21613.11</v>
      </c>
      <c r="BI30" s="43">
        <v>21613.11</v>
      </c>
      <c r="BJ30" s="41">
        <f t="shared" si="30"/>
        <v>21613.11</v>
      </c>
      <c r="BK30" s="44"/>
      <c r="BL30" s="43"/>
      <c r="BM30" s="43"/>
      <c r="BN30" s="41">
        <f t="shared" si="43"/>
        <v>0</v>
      </c>
      <c r="BO30" s="44"/>
      <c r="BP30" s="43"/>
      <c r="BQ30" s="43"/>
      <c r="BR30" s="41">
        <f t="shared" si="44"/>
        <v>0</v>
      </c>
      <c r="BS30" s="17">
        <f t="shared" si="58"/>
        <v>0</v>
      </c>
      <c r="BT30" s="18">
        <f t="shared" si="58"/>
        <v>21613.11</v>
      </c>
      <c r="BU30" s="18">
        <f t="shared" si="58"/>
        <v>21613.11</v>
      </c>
      <c r="BV30" s="20">
        <f t="shared" si="45"/>
        <v>21613.11</v>
      </c>
      <c r="BW30" s="17">
        <f>BS30+AY30</f>
        <v>0</v>
      </c>
      <c r="BX30" s="18">
        <f t="shared" si="59"/>
        <v>87280.320000000007</v>
      </c>
      <c r="BY30" s="18">
        <f t="shared" si="59"/>
        <v>87280.320000000007</v>
      </c>
      <c r="BZ30" s="20">
        <f t="shared" si="46"/>
        <v>87280.320000000007</v>
      </c>
      <c r="CA30" s="17">
        <f t="shared" si="53"/>
        <v>0</v>
      </c>
      <c r="CB30" s="43">
        <f t="shared" si="53"/>
        <v>214327.72</v>
      </c>
      <c r="CC30" s="43">
        <f t="shared" si="53"/>
        <v>214327.72</v>
      </c>
      <c r="CD30" s="20">
        <f t="shared" si="47"/>
        <v>214327.72</v>
      </c>
      <c r="CF30" s="3"/>
      <c r="CJ30" s="91">
        <f t="shared" si="61"/>
        <v>0</v>
      </c>
      <c r="CK30" s="91">
        <f t="shared" si="61"/>
        <v>21613.11</v>
      </c>
      <c r="CL30" s="91">
        <f t="shared" si="61"/>
        <v>21613.11</v>
      </c>
      <c r="CM30" s="91">
        <f t="shared" si="61"/>
        <v>21613.11</v>
      </c>
      <c r="CN30" s="91">
        <f t="shared" si="15"/>
        <v>0</v>
      </c>
      <c r="CO30" s="91">
        <f t="shared" si="15"/>
        <v>214327.71999999997</v>
      </c>
      <c r="CP30" s="91">
        <f t="shared" si="15"/>
        <v>214327.71999999997</v>
      </c>
      <c r="CQ30" s="91">
        <f t="shared" si="15"/>
        <v>214327.71999999997</v>
      </c>
    </row>
    <row r="31" spans="1:95" ht="21.4" customHeight="1" x14ac:dyDescent="0.3">
      <c r="A31" s="9"/>
      <c r="B31" s="99" t="s">
        <v>173</v>
      </c>
      <c r="C31" s="168"/>
      <c r="D31" s="18"/>
      <c r="E31" s="199"/>
      <c r="F31" s="170">
        <f t="shared" si="31"/>
        <v>0</v>
      </c>
      <c r="G31" s="83"/>
      <c r="H31" s="18"/>
      <c r="I31" s="43"/>
      <c r="J31" s="18">
        <f t="shared" si="32"/>
        <v>0</v>
      </c>
      <c r="K31" s="83"/>
      <c r="L31" s="18"/>
      <c r="M31" s="43"/>
      <c r="N31" s="19"/>
      <c r="O31" s="17">
        <f t="shared" si="62"/>
        <v>0</v>
      </c>
      <c r="P31" s="43">
        <f t="shared" si="55"/>
        <v>0</v>
      </c>
      <c r="Q31" s="43">
        <f t="shared" si="55"/>
        <v>0</v>
      </c>
      <c r="R31" s="19">
        <f t="shared" si="33"/>
        <v>0</v>
      </c>
      <c r="S31" s="83"/>
      <c r="T31" s="18">
        <v>5000</v>
      </c>
      <c r="U31" s="18">
        <v>5000</v>
      </c>
      <c r="V31" s="19">
        <f t="shared" si="34"/>
        <v>5000</v>
      </c>
      <c r="W31" s="18"/>
      <c r="X31" s="18"/>
      <c r="Y31" s="37"/>
      <c r="Z31" s="18">
        <f t="shared" si="35"/>
        <v>0</v>
      </c>
      <c r="AA31" s="83"/>
      <c r="AB31" s="18"/>
      <c r="AC31" s="43"/>
      <c r="AD31" s="19">
        <f t="shared" si="29"/>
        <v>0</v>
      </c>
      <c r="AE31" s="17">
        <f t="shared" si="56"/>
        <v>0</v>
      </c>
      <c r="AF31" s="18">
        <f t="shared" si="56"/>
        <v>5000</v>
      </c>
      <c r="AG31" s="18">
        <f t="shared" si="56"/>
        <v>5000</v>
      </c>
      <c r="AH31" s="19">
        <f t="shared" si="36"/>
        <v>5000</v>
      </c>
      <c r="AI31" s="17">
        <f t="shared" si="60"/>
        <v>0</v>
      </c>
      <c r="AJ31" s="18">
        <f t="shared" si="60"/>
        <v>5000</v>
      </c>
      <c r="AK31" s="18">
        <f t="shared" si="60"/>
        <v>5000</v>
      </c>
      <c r="AL31" s="19">
        <f>AJ31-AI31</f>
        <v>5000</v>
      </c>
      <c r="AM31" s="17"/>
      <c r="AN31" s="43">
        <v>1514.12</v>
      </c>
      <c r="AO31" s="201">
        <v>1514.12</v>
      </c>
      <c r="AP31" s="20"/>
      <c r="AQ31" s="17"/>
      <c r="AR31" s="18"/>
      <c r="AS31" s="43"/>
      <c r="AT31" s="20">
        <f>AR31-AQ31</f>
        <v>0</v>
      </c>
      <c r="AU31" s="17"/>
      <c r="AV31" s="18"/>
      <c r="AW31" s="18"/>
      <c r="AX31" s="20">
        <f>AV31-AU31</f>
        <v>0</v>
      </c>
      <c r="AY31" s="17">
        <f t="shared" si="52"/>
        <v>0</v>
      </c>
      <c r="AZ31" s="18">
        <f>AN31+AR31+AV31</f>
        <v>1514.12</v>
      </c>
      <c r="BA31" s="18">
        <f>AO31+AS31+AW31</f>
        <v>1514.12</v>
      </c>
      <c r="BB31" s="19">
        <f>AZ31-AY31</f>
        <v>1514.12</v>
      </c>
      <c r="BC31" s="190">
        <f t="shared" si="57"/>
        <v>0</v>
      </c>
      <c r="BD31" s="84">
        <f t="shared" si="57"/>
        <v>6514.12</v>
      </c>
      <c r="BE31" s="84">
        <f t="shared" si="57"/>
        <v>6514.12</v>
      </c>
      <c r="BF31" s="170">
        <f t="shared" si="42"/>
        <v>6514.12</v>
      </c>
      <c r="BG31" s="83"/>
      <c r="BH31" s="18">
        <v>2822</v>
      </c>
      <c r="BI31" s="43">
        <v>2822</v>
      </c>
      <c r="BJ31" s="41">
        <f t="shared" si="30"/>
        <v>2822</v>
      </c>
      <c r="BK31" s="44"/>
      <c r="BL31" s="43"/>
      <c r="BM31" s="43"/>
      <c r="BN31" s="41">
        <f t="shared" si="43"/>
        <v>0</v>
      </c>
      <c r="BO31" s="44"/>
      <c r="BP31" s="43">
        <v>1950</v>
      </c>
      <c r="BQ31" s="43">
        <v>1950</v>
      </c>
      <c r="BR31" s="41">
        <f t="shared" si="44"/>
        <v>1950</v>
      </c>
      <c r="BS31" s="17">
        <f t="shared" si="58"/>
        <v>0</v>
      </c>
      <c r="BT31" s="18">
        <f t="shared" si="58"/>
        <v>4772</v>
      </c>
      <c r="BU31" s="18">
        <f t="shared" si="58"/>
        <v>4772</v>
      </c>
      <c r="BV31" s="20">
        <f t="shared" si="45"/>
        <v>4772</v>
      </c>
      <c r="BW31" s="17">
        <f>BS31+AY31</f>
        <v>0</v>
      </c>
      <c r="BX31" s="18">
        <f t="shared" si="59"/>
        <v>6286.12</v>
      </c>
      <c r="BY31" s="18">
        <f t="shared" si="59"/>
        <v>6286.12</v>
      </c>
      <c r="BZ31" s="20">
        <f t="shared" si="46"/>
        <v>6286.12</v>
      </c>
      <c r="CA31" s="17">
        <f t="shared" si="53"/>
        <v>0</v>
      </c>
      <c r="CB31" s="18">
        <f t="shared" si="53"/>
        <v>11286.119999999999</v>
      </c>
      <c r="CC31" s="43">
        <f>BY31+AK31</f>
        <v>11286.119999999999</v>
      </c>
      <c r="CD31" s="20">
        <f t="shared" si="47"/>
        <v>11286.119999999999</v>
      </c>
      <c r="CE31" s="3"/>
      <c r="CF31" s="3"/>
      <c r="CJ31" s="91">
        <f t="shared" si="61"/>
        <v>0</v>
      </c>
      <c r="CK31" s="91">
        <f t="shared" si="61"/>
        <v>4772</v>
      </c>
      <c r="CL31" s="91">
        <f t="shared" si="61"/>
        <v>4772</v>
      </c>
      <c r="CM31" s="91">
        <f t="shared" si="61"/>
        <v>4772</v>
      </c>
      <c r="CN31" s="91">
        <f t="shared" si="15"/>
        <v>0</v>
      </c>
      <c r="CO31" s="91">
        <f t="shared" si="15"/>
        <v>11286.119999999999</v>
      </c>
      <c r="CP31" s="91">
        <f t="shared" si="15"/>
        <v>11286.119999999999</v>
      </c>
      <c r="CQ31" s="91">
        <f t="shared" si="15"/>
        <v>11286.119999999999</v>
      </c>
    </row>
    <row r="32" spans="1:95" ht="15.75" customHeight="1" x14ac:dyDescent="0.3">
      <c r="A32" s="216" t="s">
        <v>46</v>
      </c>
      <c r="B32" s="216"/>
      <c r="C32" s="171">
        <f t="shared" ref="C32:P32" si="63">C33+C94</f>
        <v>3907305.25</v>
      </c>
      <c r="D32" s="23">
        <f t="shared" si="63"/>
        <v>2505253.2600000002</v>
      </c>
      <c r="E32" s="23">
        <f t="shared" si="63"/>
        <v>2366755.7500000005</v>
      </c>
      <c r="F32" s="172">
        <f t="shared" si="63"/>
        <v>-1402051.9900000002</v>
      </c>
      <c r="G32" s="86">
        <f t="shared" si="63"/>
        <v>4036141.1599999997</v>
      </c>
      <c r="H32" s="23">
        <f t="shared" si="63"/>
        <v>4082249.4200000004</v>
      </c>
      <c r="I32" s="23">
        <f t="shared" si="63"/>
        <v>2938335.2700000005</v>
      </c>
      <c r="J32" s="23">
        <f t="shared" si="63"/>
        <v>46108.260000000737</v>
      </c>
      <c r="K32" s="86">
        <f t="shared" si="63"/>
        <v>4036141.1599999997</v>
      </c>
      <c r="L32" s="23">
        <f t="shared" si="63"/>
        <v>3758405.1799999997</v>
      </c>
      <c r="M32" s="23">
        <f t="shared" si="63"/>
        <v>4907207.96</v>
      </c>
      <c r="N32" s="23">
        <f t="shared" si="63"/>
        <v>-277735.98</v>
      </c>
      <c r="O32" s="23">
        <f t="shared" si="63"/>
        <v>11979587.57</v>
      </c>
      <c r="P32" s="23">
        <f t="shared" si="63"/>
        <v>10345907.859999999</v>
      </c>
      <c r="Q32" s="23">
        <f>Q33+Q94</f>
        <v>10212298.98</v>
      </c>
      <c r="R32" s="23">
        <f>R33+R94</f>
        <v>-1633679.7099999995</v>
      </c>
      <c r="S32" s="23">
        <f t="shared" ref="S32:T32" si="64">S33+S94</f>
        <v>4036141.1600000006</v>
      </c>
      <c r="T32" s="23">
        <f t="shared" si="64"/>
        <v>2506892.69</v>
      </c>
      <c r="U32" s="23">
        <f>U33+U94</f>
        <v>3194621.1000000006</v>
      </c>
      <c r="V32" s="85">
        <f>V33+V94</f>
        <v>-1529248.4700000007</v>
      </c>
      <c r="W32" s="23">
        <f>W33+W94</f>
        <v>4036141.16</v>
      </c>
      <c r="X32" s="23">
        <f>X33+X94</f>
        <v>2656171.19</v>
      </c>
      <c r="Y32" s="85">
        <f>Y33+Y94</f>
        <v>2676273.42</v>
      </c>
      <c r="Z32" s="23">
        <f t="shared" si="35"/>
        <v>-1379969.9700000002</v>
      </c>
      <c r="AA32" s="86">
        <f>AA33+AA94</f>
        <v>4036141.16</v>
      </c>
      <c r="AB32" s="23">
        <f>AB33+AB94</f>
        <v>3495692.51</v>
      </c>
      <c r="AC32" s="23">
        <f>AC33+AC94</f>
        <v>2809400.4800000004</v>
      </c>
      <c r="AD32" s="85">
        <f t="shared" si="29"/>
        <v>-540448.65000000037</v>
      </c>
      <c r="AE32" s="100">
        <f>AE33+AE94</f>
        <v>12108423.48</v>
      </c>
      <c r="AF32" s="100">
        <f>AF33+AF94</f>
        <v>8658756.3900000006</v>
      </c>
      <c r="AG32" s="100">
        <f>AG33+AG94</f>
        <v>8680295</v>
      </c>
      <c r="AH32" s="101">
        <f t="shared" si="36"/>
        <v>-3449667.09</v>
      </c>
      <c r="AI32" s="100">
        <f>AI33+AI94</f>
        <v>24088011.050000001</v>
      </c>
      <c r="AJ32" s="23">
        <f>AJ33+AJ94</f>
        <v>18984388.569999997</v>
      </c>
      <c r="AK32" s="23">
        <f>AK33+AK94</f>
        <v>18892593.98</v>
      </c>
      <c r="AL32" s="85">
        <f t="shared" ref="AL32:AL37" si="65">AJ32-AI32</f>
        <v>-5103622.4800000042</v>
      </c>
      <c r="AM32" s="100">
        <f>AM33+AM94</f>
        <v>4052466.15</v>
      </c>
      <c r="AN32" s="23">
        <f>AN33+AN94</f>
        <v>3097789.26</v>
      </c>
      <c r="AO32" s="23">
        <f>AO33+AO94</f>
        <v>3854156.7399999993</v>
      </c>
      <c r="AP32" s="102">
        <f t="shared" ref="AP32:AP50" si="66">AN32-AM32</f>
        <v>-954676.89000000013</v>
      </c>
      <c r="AQ32" s="100">
        <f>AQ33+AQ94</f>
        <v>4052466.64</v>
      </c>
      <c r="AR32" s="23">
        <f>AR33+AR94</f>
        <v>3156113.3099999996</v>
      </c>
      <c r="AS32" s="23">
        <f>AS33+AS94</f>
        <v>3255781.9699999997</v>
      </c>
      <c r="AT32" s="102">
        <f t="shared" ref="AT32:AT50" si="67">AR32-AQ32</f>
        <v>-896353.33000000054</v>
      </c>
      <c r="AU32" s="100">
        <f>AU33+AU94</f>
        <v>4052466.1500000004</v>
      </c>
      <c r="AV32" s="100">
        <f>AV33+AV94</f>
        <v>4058180.5300000003</v>
      </c>
      <c r="AW32" s="100">
        <f>AW33+AW94</f>
        <v>3435729.4200000004</v>
      </c>
      <c r="AX32" s="102">
        <f>AV32-AU32</f>
        <v>5714.3799999998882</v>
      </c>
      <c r="AY32" s="100">
        <f>AY33+AY94</f>
        <v>12157398.449999999</v>
      </c>
      <c r="AZ32" s="100">
        <f>AZ33+AZ94</f>
        <v>10312083.1</v>
      </c>
      <c r="BA32" s="100">
        <f>BA33+BA94</f>
        <v>10545668.130000001</v>
      </c>
      <c r="BB32" s="85">
        <f t="shared" ref="BB32:BB37" si="68">AZ32-AY32</f>
        <v>-1845315.3499999996</v>
      </c>
      <c r="BC32" s="192">
        <f>(AI32+AY32)</f>
        <v>36245409.5</v>
      </c>
      <c r="BD32" s="192">
        <f>(AJ32+AZ32)</f>
        <v>29296471.669999994</v>
      </c>
      <c r="BE32" s="192">
        <f>(AK32+BA32)</f>
        <v>29438262.109999999</v>
      </c>
      <c r="BF32" s="172">
        <f t="shared" si="42"/>
        <v>-6948937.8300000057</v>
      </c>
      <c r="BG32" s="86">
        <f>BG33+BG94</f>
        <v>4052466.1500000004</v>
      </c>
      <c r="BH32" s="23">
        <f>BH33+BH94</f>
        <v>4123849.8100000005</v>
      </c>
      <c r="BI32" s="23">
        <f>BI33+BI94</f>
        <v>4300530.33</v>
      </c>
      <c r="BJ32" s="102">
        <f t="shared" si="30"/>
        <v>71383.660000000149</v>
      </c>
      <c r="BK32" s="100">
        <f>BK33+BK94</f>
        <v>4052466.1500000004</v>
      </c>
      <c r="BL32" s="23">
        <f>BL33+BL94</f>
        <v>3259455.88</v>
      </c>
      <c r="BM32" s="23">
        <f>BM33+BM94</f>
        <v>4037534.5500000003</v>
      </c>
      <c r="BN32" s="102">
        <f t="shared" si="43"/>
        <v>-793010.27000000048</v>
      </c>
      <c r="BO32" s="100">
        <f>BO33+BO94</f>
        <v>4052466.1500000004</v>
      </c>
      <c r="BP32" s="23">
        <f>BP33+BP94</f>
        <v>6621354.7400000002</v>
      </c>
      <c r="BQ32" s="23">
        <f>BQ33+BQ94</f>
        <v>10225303.560000001</v>
      </c>
      <c r="BR32" s="102">
        <f t="shared" si="44"/>
        <v>2568888.59</v>
      </c>
      <c r="BS32" s="100">
        <f t="shared" si="58"/>
        <v>12157398.450000001</v>
      </c>
      <c r="BT32" s="23">
        <f>BT33+BT94</f>
        <v>14004660.43</v>
      </c>
      <c r="BU32" s="23">
        <f>BU33+BU94</f>
        <v>18563368.440000001</v>
      </c>
      <c r="BV32" s="102">
        <f t="shared" si="45"/>
        <v>1847261.9799999986</v>
      </c>
      <c r="BW32" s="100">
        <f>BW33+BW94</f>
        <v>24314796.900000002</v>
      </c>
      <c r="BX32" s="23">
        <f>BX33+BX94</f>
        <v>24316743.529999997</v>
      </c>
      <c r="BY32" s="23">
        <f>BY33+BY94</f>
        <v>29109036.570000004</v>
      </c>
      <c r="BZ32" s="102">
        <f t="shared" si="46"/>
        <v>1946.6299999952316</v>
      </c>
      <c r="CA32" s="23">
        <f t="shared" ref="CA32:CB32" si="69">CA33+CA94</f>
        <v>48402807.950000003</v>
      </c>
      <c r="CB32" s="23">
        <f t="shared" si="69"/>
        <v>43302364.61999999</v>
      </c>
      <c r="CC32" s="23">
        <f>CC33+CC94</f>
        <v>48001630.549999997</v>
      </c>
      <c r="CD32" s="102">
        <f t="shared" si="47"/>
        <v>-5100443.3300000131</v>
      </c>
      <c r="CJ32" s="87" t="e">
        <f>CJ33+CJ94</f>
        <v>#REF!</v>
      </c>
      <c r="CK32" s="87" t="e">
        <f>CK33+CK94</f>
        <v>#REF!</v>
      </c>
      <c r="CL32" s="87" t="e">
        <f>CL33+CL94</f>
        <v>#REF!</v>
      </c>
      <c r="CM32" s="87" t="e">
        <f>CM33+CM94</f>
        <v>#REF!</v>
      </c>
      <c r="CN32" s="87" t="e">
        <f t="shared" si="15"/>
        <v>#REF!</v>
      </c>
      <c r="CO32" s="87" t="e">
        <f t="shared" si="15"/>
        <v>#REF!</v>
      </c>
      <c r="CP32" s="87" t="e">
        <f t="shared" si="15"/>
        <v>#REF!</v>
      </c>
      <c r="CQ32" s="87" t="e">
        <f t="shared" si="15"/>
        <v>#REF!</v>
      </c>
    </row>
    <row r="33" spans="1:95" ht="16.5" customHeight="1" x14ac:dyDescent="0.3">
      <c r="A33" s="230" t="s">
        <v>47</v>
      </c>
      <c r="B33" s="211"/>
      <c r="C33" s="175">
        <f>C34+C35+C36+C37+C38+C39+C63+C74+C90</f>
        <v>2847703.8200000003</v>
      </c>
      <c r="D33" s="175">
        <f>D34+D35+D36+D37+D38+D39+D63+D74+D90</f>
        <v>1739432.4800000002</v>
      </c>
      <c r="E33" s="175">
        <f>E34+E35+E36+E37+E38+E39+E63+E74+E90</f>
        <v>1540167.5400000003</v>
      </c>
      <c r="F33" s="176">
        <f t="shared" ref="F33:F50" si="70">D33-C33</f>
        <v>-1108271.3400000001</v>
      </c>
      <c r="G33" s="105">
        <f>G34+G35+G36+G37+G38+G39+G63+G74+G90+G91+G92+G93</f>
        <v>2972597.9299999997</v>
      </c>
      <c r="H33" s="105">
        <f>H34+H35+H36+H37+H38+H39+H63+H74+H90+H91+H92+H93</f>
        <v>3194292.9600000004</v>
      </c>
      <c r="I33" s="105">
        <f>I34+I35+I36+I37+I38+I39+I63+I74+I90+I91+I92+I93</f>
        <v>1964351.3600000003</v>
      </c>
      <c r="J33" s="104">
        <f t="shared" ref="J33:J50" si="71">H33-G33</f>
        <v>221695.03000000073</v>
      </c>
      <c r="K33" s="105">
        <f>K34+K35+K36+K37+K38+K39+K63+K74+K90+K91+K92+K93</f>
        <v>2979097.9299999997</v>
      </c>
      <c r="L33" s="105">
        <f>L34+L35+L36+L37+L38+L39+L63+L74+L90+L91+L92+L93</f>
        <v>2501135.5199999996</v>
      </c>
      <c r="M33" s="105">
        <f>M34+M35+M36+M37+M38+M39+M63+M74+M90+M91+M92+M93</f>
        <v>3951430.13</v>
      </c>
      <c r="N33" s="103">
        <f t="shared" ref="N33:N55" si="72">L33-K33</f>
        <v>-477962.41000000015</v>
      </c>
      <c r="O33" s="106">
        <f>C33+G33+K33</f>
        <v>8799399.6799999997</v>
      </c>
      <c r="P33" s="106">
        <f t="shared" ref="P33" si="73">D33+H33+L33</f>
        <v>7434860.96</v>
      </c>
      <c r="Q33" s="106">
        <f>E33+I33+M33</f>
        <v>7455949.0300000003</v>
      </c>
      <c r="R33" s="106">
        <f>F33+J33+N33</f>
        <v>-1364538.7199999995</v>
      </c>
      <c r="S33" s="36">
        <f>S34+S35+S36+S37+S38+S39+S63+S74+S90+S91+S92+S93</f>
        <v>2992598.5200000005</v>
      </c>
      <c r="T33" s="36">
        <f t="shared" ref="T33" si="74">T34+T35+T36+T37+T38+T39+T63+T74+T90</f>
        <v>1757281.5799999998</v>
      </c>
      <c r="U33" s="36">
        <f>U34+U35+U36+U37+U38+U39+U63+U74+U90</f>
        <v>2041237.4700000004</v>
      </c>
      <c r="V33" s="107">
        <f t="shared" ref="V33:V50" si="75">T33-S33</f>
        <v>-1235316.9400000006</v>
      </c>
      <c r="W33" s="36">
        <f>W34+W35+W36+W37+W38+W39+W63+W74+W90+W91+W92+W93</f>
        <v>2986598.24</v>
      </c>
      <c r="X33" s="36">
        <f>X34+X35+X36+X37+X38+X39+X63+X74+X90</f>
        <v>1722985.72</v>
      </c>
      <c r="Y33" s="36">
        <f>Y34+Y35+Y36+Y37+Y38+Y39+Y63+Y74+Y90</f>
        <v>1829952.15</v>
      </c>
      <c r="Z33" s="36">
        <f t="shared" si="35"/>
        <v>-1263612.5200000003</v>
      </c>
      <c r="AA33" s="105">
        <f>AA34+AA35+AA36+AA37+AA38+AA39+AA63+AA74+AA90+AA91+AA92+AA93</f>
        <v>2986098.2700000005</v>
      </c>
      <c r="AB33" s="105">
        <f>AB34+AB35+AB36+AB37+AB38+AB39+AB63+AB74+AB90</f>
        <v>2113636.6799999997</v>
      </c>
      <c r="AC33" s="105">
        <f>AC34+AC35+AC36+AC37+AC38+AC39+AC63+AC74+AC90</f>
        <v>1967697.6500000001</v>
      </c>
      <c r="AD33" s="107">
        <f t="shared" si="29"/>
        <v>-872461.59000000078</v>
      </c>
      <c r="AE33" s="36">
        <f>S33+W33+AA33</f>
        <v>8965295.0300000012</v>
      </c>
      <c r="AF33" s="36">
        <f t="shared" ref="AE33:AG38" si="76">T33+X33+AB33</f>
        <v>5593903.9799999995</v>
      </c>
      <c r="AG33" s="36">
        <f t="shared" si="76"/>
        <v>5838887.2700000005</v>
      </c>
      <c r="AH33" s="103">
        <f t="shared" si="36"/>
        <v>-3371391.0500000017</v>
      </c>
      <c r="AI33" s="36">
        <f>AI34+AI35+AI36+AI37+AI38+AI39+AI63+AI74+AI88+AI89+AI90+AI91+AI92+AI93</f>
        <v>17764694.710000001</v>
      </c>
      <c r="AJ33" s="36">
        <f>AJ34+AJ35+AJ36+AJ37+AJ38+AJ39+AJ63+AJ74+AJ88+AJ89+AJ90</f>
        <v>13008489.259999998</v>
      </c>
      <c r="AK33" s="36">
        <f>AK34+AK35+AK36+AK37+AK38+AK39+AK63+AK74+AK88+AK89+AK90</f>
        <v>13294836.300000003</v>
      </c>
      <c r="AL33" s="107">
        <f t="shared" si="65"/>
        <v>-4756205.450000003</v>
      </c>
      <c r="AM33" s="36">
        <f>AM34+AM35+AM36+AM37+AM38+AM39+AM63+AM74+AM90+AM91+AM92+AM93</f>
        <v>3002106.92</v>
      </c>
      <c r="AN33" s="36">
        <f>AN34+AN35+AN36+AN37+AN38+AN39+AN63+AN74+AN90</f>
        <v>2167144.2599999998</v>
      </c>
      <c r="AO33" s="36">
        <f>AO34+AO35+AO36+AO37+AO38+AO39+AO63+AO74+AO88+AO89+AO90+AO91+AO92+AO93</f>
        <v>2393298.0399999996</v>
      </c>
      <c r="AP33" s="108">
        <f t="shared" si="66"/>
        <v>-834962.66000000015</v>
      </c>
      <c r="AQ33" s="36">
        <f>AQ34+AQ35+AQ36+AQ37+AQ38+AQ39+AQ63+AQ74+AQ90+AQ91+AQ92+AQ93</f>
        <v>3006607.41</v>
      </c>
      <c r="AR33" s="36">
        <f>AR34+AR35+AR36+AR37+AR38+AR39+AR63+AR74+AR90</f>
        <v>2271307.6999999997</v>
      </c>
      <c r="AS33" s="36">
        <f>AS34+AS35+AS36+AS37+AS38+AS39+AS63+AS74+AS90</f>
        <v>2384854.9799999995</v>
      </c>
      <c r="AT33" s="108">
        <f t="shared" si="67"/>
        <v>-735299.71000000043</v>
      </c>
      <c r="AU33" s="36">
        <f>AU34+AU35+AU36+AU37+AU38+AU39+AU63+AU74+AU90+AU91+AU92+AU93</f>
        <v>3016606.66</v>
      </c>
      <c r="AV33" s="36">
        <f>AV34+AV35+AV36+AV37+AV38+AV39+AV63+AV74+AV90</f>
        <v>2549501.7800000003</v>
      </c>
      <c r="AW33" s="36">
        <f>AW34+AW35+AW36+AW37+AW38+AW39+AW63+AW74+AW90</f>
        <v>2475926.8000000003</v>
      </c>
      <c r="AX33" s="108">
        <f>AV33-AU33</f>
        <v>-467104.87999999989</v>
      </c>
      <c r="AY33" s="106">
        <f>AM33+AQ33+AU33</f>
        <v>9025320.9900000002</v>
      </c>
      <c r="AZ33" s="106">
        <f>AN33+AR33+AV33</f>
        <v>6987953.7399999993</v>
      </c>
      <c r="BA33" s="106">
        <f>AO33+AS33+AW33</f>
        <v>7254079.8200000003</v>
      </c>
      <c r="BB33" s="109">
        <f t="shared" si="68"/>
        <v>-2037367.2500000009</v>
      </c>
      <c r="BC33" s="36">
        <f>BC34+BC35+BC36+BC37+BC38+BC39+BC63+BC74+BC90</f>
        <v>25744566.649999999</v>
      </c>
      <c r="BD33" s="36">
        <f>BD34+BD35+BD36+BD37+BD38+BD39+BD63+BD74+BD90</f>
        <v>19996443</v>
      </c>
      <c r="BE33" s="36">
        <f>BE34+BE35+BE36+BE37+BE38+BE39+BE63+BE74+BE90</f>
        <v>20548916.120000001</v>
      </c>
      <c r="BF33" s="193">
        <f t="shared" si="42"/>
        <v>-5748123.6499999985</v>
      </c>
      <c r="BG33" s="105">
        <f>BG34+BG35+BG36+BG37+BG38+BG39+BG63+BG74+BG90+BG91+BG92+BG93</f>
        <v>2997606.66</v>
      </c>
      <c r="BH33" s="105">
        <f>BH34+BH35+BH36+BH37+BH38+BH39+BH63+BH74+BH90</f>
        <v>3106788.8200000003</v>
      </c>
      <c r="BI33" s="105">
        <f>BI34+BI35+BI36+BI37+BI38+BI39+BI63+BI74+BI90</f>
        <v>2902866.31</v>
      </c>
      <c r="BJ33" s="108">
        <f t="shared" si="30"/>
        <v>109182.16000000015</v>
      </c>
      <c r="BK33" s="36">
        <f>BK34+BK35+BK36+BK37+BK38+BK39+BK63+BK74+BK90+BK91+BK92+BK93</f>
        <v>2992606.74</v>
      </c>
      <c r="BL33" s="36">
        <f>BL34+BL35+BL36+BL37+BL38+BL39+BL63+BL74+BL90</f>
        <v>2394577.54</v>
      </c>
      <c r="BM33" s="36">
        <f>BM34+BM35+BM36+BM37+BM38+BM39+BM63+BM74+BM90</f>
        <v>2883346.49</v>
      </c>
      <c r="BN33" s="108">
        <f t="shared" si="43"/>
        <v>-598029.20000000019</v>
      </c>
      <c r="BO33" s="36">
        <f>BO34+BO35+BO36+BO37+BO38+BO39+BO63+BO74+BO90+BO91+BO92+BO93</f>
        <v>2984606.5100000002</v>
      </c>
      <c r="BP33" s="36">
        <f>BP34+BP35+BP36+BP37+BP38+BP39+BP63+BP74+BP90</f>
        <v>4957831.84</v>
      </c>
      <c r="BQ33" s="36">
        <f>BQ34+BQ35+BQ36+BQ37+BQ38+BQ39+BQ63+BQ74+BQ90</f>
        <v>8189673.1900000004</v>
      </c>
      <c r="BR33" s="108">
        <f t="shared" si="44"/>
        <v>1973225.3299999996</v>
      </c>
      <c r="BS33" s="106">
        <f>BG33+BK33+BO33</f>
        <v>8974819.9100000001</v>
      </c>
      <c r="BT33" s="106">
        <f>BH33+BL33+BP33</f>
        <v>10459198.199999999</v>
      </c>
      <c r="BU33" s="106">
        <f>BI33+BM33+BQ33</f>
        <v>13975885.990000002</v>
      </c>
      <c r="BV33" s="108">
        <f t="shared" si="45"/>
        <v>1484378.2899999991</v>
      </c>
      <c r="BW33" s="36">
        <f>BW34+BW35+BW36+BW37+BW38+BW39+BW63+BW74+BW90+BW91+BW92+BW93</f>
        <v>18000140.900000002</v>
      </c>
      <c r="BX33" s="36">
        <f>BX34+BX35+BX36+BX37+BX38+BX39+BX63+BX74+BX90</f>
        <v>17447151.939999998</v>
      </c>
      <c r="BY33" s="36">
        <f>BY34+BY35+BY36+BY37+BY38+BY39+BY63+BY74+BY90</f>
        <v>21229965.810000002</v>
      </c>
      <c r="BZ33" s="108">
        <f t="shared" si="46"/>
        <v>-552988.96000000462</v>
      </c>
      <c r="CA33" s="36">
        <f>CA34+CA35+CA36+CA37+CA38+CA39+CA63+CA74+CA90+CA91+CA92+CA93</f>
        <v>35764835.609999999</v>
      </c>
      <c r="CB33" s="36">
        <f t="shared" ref="CB33:CC33" si="77">CB34+CB35+CB36+CB37+CB38+CB39+CB63+CB74+CB90+CB91+CB92+CB93</f>
        <v>30450473.719999995</v>
      </c>
      <c r="CC33" s="36">
        <f t="shared" si="77"/>
        <v>34524802.109999999</v>
      </c>
      <c r="CD33" s="108">
        <f t="shared" si="47"/>
        <v>-5314361.8900000043</v>
      </c>
      <c r="CJ33" s="111" t="e">
        <f>CJ34+#REF!+#REF!+CJ35+CJ36+CJ37+CJ38+CJ39+CJ63+CJ74+CJ88+CJ89+CJ90</f>
        <v>#REF!</v>
      </c>
      <c r="CK33" s="111" t="e">
        <f>CK34+#REF!+#REF!+CK35+CK36+CK37+CK38+CK39+CK63+CK74+CK88+CK89+CK90</f>
        <v>#REF!</v>
      </c>
      <c r="CL33" s="111" t="e">
        <f>CL34+#REF!+#REF!+CL35+CL36+CL37+CL38+CL39+CL63+CL74+CL88+CL89+CL90</f>
        <v>#REF!</v>
      </c>
      <c r="CM33" s="111" t="e">
        <f>CM34+#REF!+#REF!+CM35+CM36+CM37+CM38+CM39+CM63+CM74+CM88+CM89+CM90</f>
        <v>#REF!</v>
      </c>
      <c r="CN33" s="111" t="e">
        <f t="shared" ref="CN33:CQ62" si="78">O33+AE33+AY33+CJ33</f>
        <v>#REF!</v>
      </c>
      <c r="CO33" s="111" t="e">
        <f t="shared" si="78"/>
        <v>#REF!</v>
      </c>
      <c r="CP33" s="111" t="e">
        <f t="shared" si="78"/>
        <v>#REF!</v>
      </c>
      <c r="CQ33" s="111" t="e">
        <f t="shared" si="78"/>
        <v>#REF!</v>
      </c>
    </row>
    <row r="34" spans="1:95" ht="45" customHeight="1" x14ac:dyDescent="0.3">
      <c r="A34" s="9">
        <v>1</v>
      </c>
      <c r="B34" s="10" t="s">
        <v>48</v>
      </c>
      <c r="C34" s="174">
        <v>151409.32</v>
      </c>
      <c r="D34" s="18">
        <f>66148.72+71549.17</f>
        <v>137697.89000000001</v>
      </c>
      <c r="E34" s="43"/>
      <c r="F34" s="170">
        <f t="shared" si="70"/>
        <v>-13711.429999999993</v>
      </c>
      <c r="G34" s="83">
        <v>151409.32</v>
      </c>
      <c r="H34" s="18">
        <f>3990+4222+66148.72+71549.17</f>
        <v>145909.89000000001</v>
      </c>
      <c r="I34" s="43">
        <v>137697.89000000001</v>
      </c>
      <c r="J34" s="19">
        <f t="shared" si="71"/>
        <v>-5499.429999999993</v>
      </c>
      <c r="K34" s="17">
        <v>151409.32</v>
      </c>
      <c r="L34" s="18">
        <f>66148.72+71549.17</f>
        <v>137697.89000000001</v>
      </c>
      <c r="M34" s="43">
        <f>137697.89+8212</f>
        <v>145909.89000000001</v>
      </c>
      <c r="N34" s="19">
        <f t="shared" si="72"/>
        <v>-13711.429999999993</v>
      </c>
      <c r="O34" s="95">
        <f t="shared" ref="O34:Q49" si="79">K34+G34+C34</f>
        <v>454227.96</v>
      </c>
      <c r="P34" s="95">
        <f t="shared" si="79"/>
        <v>421305.67000000004</v>
      </c>
      <c r="Q34" s="95">
        <f t="shared" si="79"/>
        <v>283607.78000000003</v>
      </c>
      <c r="R34" s="30">
        <f t="shared" ref="R34:R50" si="80">P34-O34</f>
        <v>-32922.289999999979</v>
      </c>
      <c r="S34" s="17">
        <v>151409.32</v>
      </c>
      <c r="T34" s="18">
        <f>66148.72+71549.17</f>
        <v>137697.89000000001</v>
      </c>
      <c r="U34" s="43">
        <v>137697.89000000001</v>
      </c>
      <c r="V34" s="19">
        <f t="shared" si="75"/>
        <v>-13711.429999999993</v>
      </c>
      <c r="W34" s="112">
        <v>151409.32</v>
      </c>
      <c r="X34" s="113">
        <f>66148.72+71549.17</f>
        <v>137697.89000000001</v>
      </c>
      <c r="Y34" s="114">
        <v>137697.89000000001</v>
      </c>
      <c r="Z34" s="43">
        <f t="shared" si="35"/>
        <v>-13711.429999999993</v>
      </c>
      <c r="AA34" s="115">
        <v>151409.32</v>
      </c>
      <c r="AB34" s="43">
        <f>66148.72+71549.17+12666</f>
        <v>150363.89000000001</v>
      </c>
      <c r="AC34" s="43">
        <v>137697.89000000001</v>
      </c>
      <c r="AD34" s="19">
        <f t="shared" si="29"/>
        <v>-1045.429999999993</v>
      </c>
      <c r="AE34" s="17">
        <f t="shared" si="76"/>
        <v>454227.96</v>
      </c>
      <c r="AF34" s="18">
        <f t="shared" si="76"/>
        <v>425759.67000000004</v>
      </c>
      <c r="AG34" s="18">
        <f t="shared" si="76"/>
        <v>413093.67000000004</v>
      </c>
      <c r="AH34" s="19">
        <f t="shared" si="36"/>
        <v>-28468.289999999979</v>
      </c>
      <c r="AI34" s="17">
        <f t="shared" ref="AI34:AK37" si="81">AE34+O34</f>
        <v>908455.92</v>
      </c>
      <c r="AJ34" s="18">
        <f t="shared" si="81"/>
        <v>847065.34000000008</v>
      </c>
      <c r="AK34" s="18">
        <f t="shared" si="81"/>
        <v>696701.45000000007</v>
      </c>
      <c r="AL34" s="19">
        <f t="shared" si="65"/>
        <v>-61390.579999999958</v>
      </c>
      <c r="AM34" s="17">
        <v>151409.32</v>
      </c>
      <c r="AN34" s="18">
        <f>66148.72+71549.17+4222</f>
        <v>141919.89000000001</v>
      </c>
      <c r="AO34" s="18">
        <f>137697.89+12666</f>
        <v>150363.89000000001</v>
      </c>
      <c r="AP34" s="20">
        <f t="shared" si="66"/>
        <v>-9489.429999999993</v>
      </c>
      <c r="AQ34" s="17">
        <v>151409.32</v>
      </c>
      <c r="AR34" s="18">
        <f>71549.17+66148.72+12666</f>
        <v>150363.89000000001</v>
      </c>
      <c r="AS34" s="43">
        <f>137697.89+4222</f>
        <v>141919.89000000001</v>
      </c>
      <c r="AT34" s="20">
        <f t="shared" si="67"/>
        <v>-1045.429999999993</v>
      </c>
      <c r="AU34" s="17">
        <v>151409.32</v>
      </c>
      <c r="AV34" s="18">
        <f>12666+71549.17+66148.72</f>
        <v>150363.89000000001</v>
      </c>
      <c r="AW34" s="43">
        <f>275395.78+25332</f>
        <v>300727.78000000003</v>
      </c>
      <c r="AX34" s="20">
        <f>AV34-AU34</f>
        <v>-1045.429999999993</v>
      </c>
      <c r="AY34" s="17">
        <f t="shared" ref="AY34:BA38" si="82">AM34+AQ34+AU34</f>
        <v>454227.96</v>
      </c>
      <c r="AZ34" s="18">
        <f t="shared" si="82"/>
        <v>442647.67000000004</v>
      </c>
      <c r="BA34" s="18">
        <f t="shared" si="82"/>
        <v>593011.56000000006</v>
      </c>
      <c r="BB34" s="19">
        <f t="shared" si="68"/>
        <v>-11580.289999999979</v>
      </c>
      <c r="BC34" s="190">
        <f t="shared" ref="BC34:BD50" si="83">(AI34+AY34)</f>
        <v>1362683.8800000001</v>
      </c>
      <c r="BD34" s="84">
        <f t="shared" si="83"/>
        <v>1289713.0100000002</v>
      </c>
      <c r="BE34" s="84">
        <f>Q34+AG34+BA34</f>
        <v>1289713.0100000002</v>
      </c>
      <c r="BF34" s="170">
        <f t="shared" si="42"/>
        <v>-72970.869999999879</v>
      </c>
      <c r="BG34" s="17">
        <v>151409.32</v>
      </c>
      <c r="BH34" s="18">
        <f>12666+71549.17+66148.72</f>
        <v>150363.89000000001</v>
      </c>
      <c r="BI34" s="43"/>
      <c r="BJ34" s="41">
        <f t="shared" si="30"/>
        <v>-1045.429999999993</v>
      </c>
      <c r="BK34" s="44">
        <v>151409.32</v>
      </c>
      <c r="BL34" s="43">
        <f>66148.72+71549.17</f>
        <v>137697.89000000001</v>
      </c>
      <c r="BM34" s="43">
        <f>137697.89+12666</f>
        <v>150363.89000000001</v>
      </c>
      <c r="BN34" s="41">
        <f t="shared" si="43"/>
        <v>-13711.429999999993</v>
      </c>
      <c r="BO34" s="44">
        <v>151409.32</v>
      </c>
      <c r="BP34" s="43">
        <f>8444+71549.17+66148.72</f>
        <v>146141.89000000001</v>
      </c>
      <c r="BQ34" s="43">
        <f>275395.78+8444</f>
        <v>283839.78000000003</v>
      </c>
      <c r="BR34" s="41">
        <f t="shared" si="44"/>
        <v>-5267.429999999993</v>
      </c>
      <c r="BS34" s="17">
        <f t="shared" si="58"/>
        <v>454227.96</v>
      </c>
      <c r="BT34" s="18">
        <f t="shared" si="58"/>
        <v>434203.67000000004</v>
      </c>
      <c r="BU34" s="18">
        <f t="shared" si="58"/>
        <v>434203.67000000004</v>
      </c>
      <c r="BV34" s="20">
        <f t="shared" si="45"/>
        <v>-20024.289999999979</v>
      </c>
      <c r="BW34" s="17">
        <f t="shared" ref="BW34:BY50" si="84">BS34+AY34</f>
        <v>908455.92</v>
      </c>
      <c r="BX34" s="18">
        <f t="shared" si="84"/>
        <v>876851.34000000008</v>
      </c>
      <c r="BY34" s="18">
        <f t="shared" si="84"/>
        <v>1027215.2300000001</v>
      </c>
      <c r="BZ34" s="20">
        <f t="shared" si="46"/>
        <v>-31604.579999999958</v>
      </c>
      <c r="CA34" s="17">
        <f t="shared" ref="CA34:CC38" si="85">BW34+AI34</f>
        <v>1816911.84</v>
      </c>
      <c r="CB34" s="18">
        <f t="shared" si="85"/>
        <v>1723916.6800000002</v>
      </c>
      <c r="CC34" s="43">
        <f t="shared" si="85"/>
        <v>1723916.6800000002</v>
      </c>
      <c r="CD34" s="20">
        <f t="shared" si="47"/>
        <v>-92995.159999999916</v>
      </c>
      <c r="CH34" s="3"/>
      <c r="CJ34" s="91">
        <f t="shared" ref="CJ34:CM38" si="86">BG34+BK34+BO34</f>
        <v>454227.96</v>
      </c>
      <c r="CK34" s="91">
        <f t="shared" si="86"/>
        <v>434203.67000000004</v>
      </c>
      <c r="CL34" s="91">
        <f t="shared" si="86"/>
        <v>434203.67000000004</v>
      </c>
      <c r="CM34" s="91">
        <f t="shared" si="86"/>
        <v>-20024.289999999979</v>
      </c>
      <c r="CN34" s="91">
        <f t="shared" si="78"/>
        <v>1816911.84</v>
      </c>
      <c r="CO34" s="91">
        <f t="shared" si="78"/>
        <v>1723916.6800000002</v>
      </c>
      <c r="CP34" s="91">
        <f t="shared" si="78"/>
        <v>1723916.6800000002</v>
      </c>
      <c r="CQ34" s="91">
        <f t="shared" si="78"/>
        <v>-92995.159999999916</v>
      </c>
    </row>
    <row r="35" spans="1:95" ht="16.5" x14ac:dyDescent="0.3">
      <c r="A35" s="9">
        <v>4</v>
      </c>
      <c r="B35" s="10" t="s">
        <v>49</v>
      </c>
      <c r="C35" s="174">
        <v>1151514</v>
      </c>
      <c r="D35" s="43">
        <f>697429.07+283391.85</f>
        <v>980820.91999999993</v>
      </c>
      <c r="E35" s="43">
        <f>716659.85-3366.69</f>
        <v>713293.16</v>
      </c>
      <c r="F35" s="170">
        <f t="shared" si="70"/>
        <v>-170693.08000000007</v>
      </c>
      <c r="G35" s="83">
        <v>1281011</v>
      </c>
      <c r="H35" s="43">
        <f>840558.08+366967.73</f>
        <v>1207525.81</v>
      </c>
      <c r="I35" s="43">
        <f>809096.46+283391.85</f>
        <v>1092488.31</v>
      </c>
      <c r="J35" s="19">
        <f t="shared" si="71"/>
        <v>-73485.189999999944</v>
      </c>
      <c r="K35" s="17">
        <v>1410509</v>
      </c>
      <c r="L35" s="43">
        <f>979800.71+366967.73</f>
        <v>1346768.44</v>
      </c>
      <c r="M35" s="43">
        <f>736248.38+206930.63-7036.71+366967.73+366967.73</f>
        <v>1670077.76</v>
      </c>
      <c r="N35" s="19">
        <f t="shared" si="72"/>
        <v>-63740.560000000056</v>
      </c>
      <c r="O35" s="95">
        <f t="shared" si="79"/>
        <v>3843034</v>
      </c>
      <c r="P35" s="95">
        <f t="shared" si="79"/>
        <v>3535115.17</v>
      </c>
      <c r="Q35" s="95">
        <f t="shared" si="79"/>
        <v>3475859.2300000004</v>
      </c>
      <c r="R35" s="30">
        <f t="shared" si="80"/>
        <v>-307918.83000000007</v>
      </c>
      <c r="S35" s="17">
        <v>1467164</v>
      </c>
      <c r="T35" s="18">
        <f>820552.95+366967.73</f>
        <v>1187520.68</v>
      </c>
      <c r="U35" s="43">
        <f>822280.18-8147.31+366967.73</f>
        <v>1181100.6000000001</v>
      </c>
      <c r="V35" s="19">
        <f t="shared" si="75"/>
        <v>-279643.32000000007</v>
      </c>
      <c r="W35" s="17">
        <v>1143420</v>
      </c>
      <c r="X35" s="18">
        <f>366967.73+750339.84</f>
        <v>1117307.5699999998</v>
      </c>
      <c r="Y35" s="37">
        <f>366967.73+778343.29-3691.14</f>
        <v>1141619.8800000001</v>
      </c>
      <c r="Z35" s="43">
        <f t="shared" si="35"/>
        <v>-26112.430000000168</v>
      </c>
      <c r="AA35" s="115">
        <v>1402415</v>
      </c>
      <c r="AB35" s="43">
        <f>382361.38+894822.34</f>
        <v>1277183.72</v>
      </c>
      <c r="AC35" s="43">
        <f>382361.38+806598.49+6000</f>
        <v>1194959.8700000001</v>
      </c>
      <c r="AD35" s="19">
        <f t="shared" si="29"/>
        <v>-125231.28000000003</v>
      </c>
      <c r="AE35" s="17">
        <f t="shared" si="76"/>
        <v>4012999</v>
      </c>
      <c r="AF35" s="18">
        <f t="shared" si="76"/>
        <v>3582011.9699999997</v>
      </c>
      <c r="AG35" s="18">
        <f>U35+Y35+AC35</f>
        <v>3517680.3500000006</v>
      </c>
      <c r="AH35" s="19">
        <f t="shared" si="36"/>
        <v>-430987.03000000026</v>
      </c>
      <c r="AI35" s="17">
        <f t="shared" si="81"/>
        <v>7856033</v>
      </c>
      <c r="AJ35" s="18">
        <f t="shared" si="81"/>
        <v>7117127.1399999997</v>
      </c>
      <c r="AK35" s="18">
        <f t="shared" si="81"/>
        <v>6993539.580000001</v>
      </c>
      <c r="AL35" s="19">
        <f t="shared" si="65"/>
        <v>-738905.86000000034</v>
      </c>
      <c r="AM35" s="17">
        <v>1540006</v>
      </c>
      <c r="AN35" s="18">
        <f>969645.18+382361.38</f>
        <v>1352006.56</v>
      </c>
      <c r="AO35" s="43">
        <f>980744.29+382361.38-7148.58</f>
        <v>1355957.0899999999</v>
      </c>
      <c r="AP35" s="20">
        <f t="shared" si="66"/>
        <v>-187999.43999999994</v>
      </c>
      <c r="AQ35" s="17">
        <v>1410509</v>
      </c>
      <c r="AR35" s="18">
        <f>382361.38+852649.61</f>
        <v>1235010.99</v>
      </c>
      <c r="AS35" s="43">
        <f>890970.39+382361.38-4598.28</f>
        <v>1268733.49</v>
      </c>
      <c r="AT35" s="20">
        <f t="shared" si="67"/>
        <v>-175498.01</v>
      </c>
      <c r="AU35" s="17">
        <v>1475257</v>
      </c>
      <c r="AV35" s="18">
        <f>963187.26+382361.38</f>
        <v>1345548.6400000001</v>
      </c>
      <c r="AW35" s="43">
        <f>909238.77-3677.61+382361.38</f>
        <v>1287922.54</v>
      </c>
      <c r="AX35" s="20">
        <f>AV35-AU35</f>
        <v>-129708.35999999987</v>
      </c>
      <c r="AY35" s="17">
        <f t="shared" si="82"/>
        <v>4425772</v>
      </c>
      <c r="AZ35" s="18">
        <f t="shared" si="82"/>
        <v>3932566.19</v>
      </c>
      <c r="BA35" s="18">
        <f t="shared" si="82"/>
        <v>3912613.12</v>
      </c>
      <c r="BB35" s="19">
        <f t="shared" si="68"/>
        <v>-493205.81000000006</v>
      </c>
      <c r="BC35" s="190">
        <f t="shared" si="83"/>
        <v>12281805</v>
      </c>
      <c r="BD35" s="84">
        <f t="shared" si="83"/>
        <v>11049693.33</v>
      </c>
      <c r="BE35" s="84">
        <f>Q35+AG35+BA35</f>
        <v>10906152.700000001</v>
      </c>
      <c r="BF35" s="170">
        <f t="shared" si="42"/>
        <v>-1232111.67</v>
      </c>
      <c r="BG35" s="83">
        <v>1475257</v>
      </c>
      <c r="BH35" s="18">
        <f>382361.38+961554.89-9463.83</f>
        <v>1334452.44</v>
      </c>
      <c r="BI35" s="43">
        <f>382361.38+870674.78-10282.59</f>
        <v>1242753.57</v>
      </c>
      <c r="BJ35" s="41">
        <f t="shared" si="30"/>
        <v>-140804.56000000006</v>
      </c>
      <c r="BK35" s="44">
        <v>1337666</v>
      </c>
      <c r="BL35" s="43">
        <f>382361.38+744846.59-6050.22</f>
        <v>1121157.75</v>
      </c>
      <c r="BM35" s="43">
        <f>382361.38+1075707.84-9463.83</f>
        <v>1448605.3900000001</v>
      </c>
      <c r="BN35" s="41">
        <f t="shared" si="43"/>
        <v>-216508.25</v>
      </c>
      <c r="BO35" s="44">
        <v>1531912</v>
      </c>
      <c r="BP35" s="43">
        <f>2109316.32+382361.38-3194.94</f>
        <v>2488482.7599999998</v>
      </c>
      <c r="BQ35" s="43">
        <f>1609310.68+382361.38-9245.16</f>
        <v>1982426.9000000001</v>
      </c>
      <c r="BR35" s="41">
        <f t="shared" si="44"/>
        <v>956570.75999999978</v>
      </c>
      <c r="BS35" s="17">
        <f t="shared" si="58"/>
        <v>4344835</v>
      </c>
      <c r="BT35" s="18">
        <f t="shared" si="58"/>
        <v>4944092.9499999993</v>
      </c>
      <c r="BU35" s="18">
        <f t="shared" si="58"/>
        <v>4673785.8600000003</v>
      </c>
      <c r="BV35" s="20">
        <f t="shared" si="45"/>
        <v>599257.94999999925</v>
      </c>
      <c r="BW35" s="17">
        <f t="shared" si="84"/>
        <v>8770607</v>
      </c>
      <c r="BX35" s="18">
        <f t="shared" si="84"/>
        <v>8876659.1399999987</v>
      </c>
      <c r="BY35" s="18">
        <f t="shared" si="84"/>
        <v>8586398.9800000004</v>
      </c>
      <c r="BZ35" s="20">
        <f t="shared" si="46"/>
        <v>106052.13999999873</v>
      </c>
      <c r="CA35" s="17">
        <f t="shared" si="85"/>
        <v>16626640</v>
      </c>
      <c r="CB35" s="18">
        <f t="shared" si="85"/>
        <v>15993786.279999997</v>
      </c>
      <c r="CC35" s="43">
        <f t="shared" si="85"/>
        <v>15579938.560000002</v>
      </c>
      <c r="CD35" s="20">
        <f>CB35-CA35</f>
        <v>-632853.72000000253</v>
      </c>
      <c r="CE35" s="3"/>
      <c r="CH35" s="3"/>
      <c r="CJ35" s="91">
        <f t="shared" si="86"/>
        <v>4344835</v>
      </c>
      <c r="CK35" s="91">
        <f t="shared" si="86"/>
        <v>4944092.9499999993</v>
      </c>
      <c r="CL35" s="91">
        <f t="shared" si="86"/>
        <v>4673785.8600000003</v>
      </c>
      <c r="CM35" s="91">
        <f t="shared" si="86"/>
        <v>599257.94999999972</v>
      </c>
      <c r="CN35" s="91">
        <f t="shared" si="78"/>
        <v>16626640</v>
      </c>
      <c r="CO35" s="91">
        <f t="shared" si="78"/>
        <v>15993786.279999999</v>
      </c>
      <c r="CP35" s="91">
        <f t="shared" si="78"/>
        <v>15579938.560000002</v>
      </c>
      <c r="CQ35" s="91">
        <f t="shared" si="78"/>
        <v>-632853.72000000067</v>
      </c>
    </row>
    <row r="36" spans="1:95" ht="16.5" x14ac:dyDescent="0.3">
      <c r="A36" s="9">
        <v>5</v>
      </c>
      <c r="B36" s="10" t="s">
        <v>152</v>
      </c>
      <c r="C36" s="174">
        <v>347757.11</v>
      </c>
      <c r="D36" s="43">
        <v>210603.12</v>
      </c>
      <c r="E36" s="43">
        <v>277298.89</v>
      </c>
      <c r="F36" s="177">
        <f t="shared" si="70"/>
        <v>-137153.99</v>
      </c>
      <c r="G36" s="115">
        <v>386865.35</v>
      </c>
      <c r="H36" s="43">
        <v>250189.4</v>
      </c>
      <c r="I36" s="43">
        <v>210603.12</v>
      </c>
      <c r="J36" s="37">
        <f t="shared" si="71"/>
        <v>-136675.94999999998</v>
      </c>
      <c r="K36" s="44">
        <v>425973.59</v>
      </c>
      <c r="L36" s="43">
        <v>295875.75</v>
      </c>
      <c r="M36" s="43">
        <f>250189.4-17.75</f>
        <v>250171.65</v>
      </c>
      <c r="N36" s="37">
        <f t="shared" si="72"/>
        <v>-130097.84000000003</v>
      </c>
      <c r="O36" s="95">
        <f t="shared" si="79"/>
        <v>1160596.0499999998</v>
      </c>
      <c r="P36" s="95">
        <f t="shared" si="79"/>
        <v>756668.27</v>
      </c>
      <c r="Q36" s="95">
        <f t="shared" si="79"/>
        <v>738073.66</v>
      </c>
      <c r="R36" s="40">
        <f t="shared" si="80"/>
        <v>-403927.7799999998</v>
      </c>
      <c r="S36" s="44">
        <v>443083.45</v>
      </c>
      <c r="T36" s="43">
        <v>185213.43</v>
      </c>
      <c r="U36" s="43">
        <v>295875.75</v>
      </c>
      <c r="V36" s="37">
        <f t="shared" si="75"/>
        <v>-257870.02000000002</v>
      </c>
      <c r="W36" s="44">
        <v>345312.84</v>
      </c>
      <c r="X36" s="43">
        <v>176009.63</v>
      </c>
      <c r="Y36" s="37">
        <v>185213.43</v>
      </c>
      <c r="Z36" s="43">
        <f t="shared" si="35"/>
        <v>-169303.21000000002</v>
      </c>
      <c r="AA36" s="115">
        <v>423529.33</v>
      </c>
      <c r="AB36" s="43">
        <v>202000.68</v>
      </c>
      <c r="AC36" s="43">
        <v>176872.4</v>
      </c>
      <c r="AD36" s="37">
        <f t="shared" si="29"/>
        <v>-221528.65000000002</v>
      </c>
      <c r="AE36" s="17">
        <f t="shared" si="76"/>
        <v>1211925.6200000001</v>
      </c>
      <c r="AF36" s="43">
        <f t="shared" si="76"/>
        <v>563223.74</v>
      </c>
      <c r="AG36" s="43">
        <f>U36+Y36+AC36</f>
        <v>657961.57999999996</v>
      </c>
      <c r="AH36" s="37">
        <f t="shared" si="36"/>
        <v>-648701.88000000012</v>
      </c>
      <c r="AI36" s="44">
        <f t="shared" si="81"/>
        <v>2372521.67</v>
      </c>
      <c r="AJ36" s="43">
        <f t="shared" si="81"/>
        <v>1319892.01</v>
      </c>
      <c r="AK36" s="43">
        <f t="shared" si="81"/>
        <v>1396035.24</v>
      </c>
      <c r="AL36" s="37">
        <f t="shared" si="65"/>
        <v>-1052629.6599999999</v>
      </c>
      <c r="AM36" s="44">
        <v>465081.83</v>
      </c>
      <c r="AN36" s="18">
        <v>216538.68</v>
      </c>
      <c r="AO36" s="43">
        <v>202000.68</v>
      </c>
      <c r="AP36" s="41">
        <f t="shared" si="66"/>
        <v>-248543.15000000002</v>
      </c>
      <c r="AQ36" s="44">
        <v>425973.59</v>
      </c>
      <c r="AR36" s="43">
        <v>195242.21</v>
      </c>
      <c r="AS36" s="43">
        <v>216538.68</v>
      </c>
      <c r="AT36" s="41">
        <f t="shared" si="67"/>
        <v>-230731.38000000003</v>
      </c>
      <c r="AU36" s="44">
        <v>445527.71</v>
      </c>
      <c r="AV36" s="116">
        <v>211976.79</v>
      </c>
      <c r="AW36" s="43">
        <v>195242.23</v>
      </c>
      <c r="AX36" s="41">
        <f>AW36-AU36</f>
        <v>-250285.48</v>
      </c>
      <c r="AY36" s="17">
        <f t="shared" si="82"/>
        <v>1336583.1300000001</v>
      </c>
      <c r="AZ36" s="43">
        <f t="shared" si="82"/>
        <v>623757.68000000005</v>
      </c>
      <c r="BA36" s="43">
        <f t="shared" si="82"/>
        <v>613781.59</v>
      </c>
      <c r="BB36" s="37">
        <f t="shared" si="68"/>
        <v>-712825.45000000007</v>
      </c>
      <c r="BC36" s="190">
        <f t="shared" si="83"/>
        <v>3709104.8</v>
      </c>
      <c r="BD36" s="117">
        <f t="shared" si="83"/>
        <v>1943649.69</v>
      </c>
      <c r="BE36" s="84">
        <f>Q36+AG36+BA36</f>
        <v>2009816.83</v>
      </c>
      <c r="BF36" s="177">
        <f t="shared" si="42"/>
        <v>-1765455.1099999999</v>
      </c>
      <c r="BG36" s="115">
        <v>445527.71</v>
      </c>
      <c r="BH36" s="43">
        <v>213296.01</v>
      </c>
      <c r="BI36" s="116">
        <v>211976.79</v>
      </c>
      <c r="BJ36" s="41">
        <f t="shared" si="30"/>
        <v>-232231.7</v>
      </c>
      <c r="BK36" s="44">
        <v>403975.2</v>
      </c>
      <c r="BL36" s="43">
        <v>174968.31</v>
      </c>
      <c r="BM36" s="43">
        <v>213296.01</v>
      </c>
      <c r="BN36" s="41">
        <f t="shared" si="43"/>
        <v>-229006.89</v>
      </c>
      <c r="BO36" s="44">
        <v>462637.57</v>
      </c>
      <c r="BP36" s="116">
        <v>239368.97</v>
      </c>
      <c r="BQ36" s="43">
        <f>BP36+BL36+855.31</f>
        <v>415192.59</v>
      </c>
      <c r="BR36" s="41">
        <f t="shared" si="44"/>
        <v>-223268.6</v>
      </c>
      <c r="BS36" s="44">
        <f t="shared" si="58"/>
        <v>1312140.48</v>
      </c>
      <c r="BT36" s="43">
        <f t="shared" si="58"/>
        <v>627633.29</v>
      </c>
      <c r="BU36" s="43">
        <f t="shared" si="58"/>
        <v>840465.39000000013</v>
      </c>
      <c r="BV36" s="41">
        <f t="shared" si="45"/>
        <v>-684507.19</v>
      </c>
      <c r="BW36" s="44">
        <f t="shared" si="84"/>
        <v>2648723.6100000003</v>
      </c>
      <c r="BX36" s="43">
        <f t="shared" si="84"/>
        <v>1251390.9700000002</v>
      </c>
      <c r="BY36" s="43">
        <f t="shared" si="84"/>
        <v>1454246.98</v>
      </c>
      <c r="BZ36" s="41">
        <f t="shared" si="46"/>
        <v>-1397332.6400000001</v>
      </c>
      <c r="CA36" s="44">
        <f t="shared" si="85"/>
        <v>5021245.28</v>
      </c>
      <c r="CB36" s="18">
        <f t="shared" si="85"/>
        <v>2571282.9800000004</v>
      </c>
      <c r="CC36" s="43">
        <f t="shared" si="85"/>
        <v>2850282.2199999997</v>
      </c>
      <c r="CD36" s="20">
        <f t="shared" si="47"/>
        <v>-2449962.2999999998</v>
      </c>
      <c r="CH36" s="3"/>
      <c r="CJ36" s="91">
        <f t="shared" si="86"/>
        <v>1312140.48</v>
      </c>
      <c r="CK36" s="91">
        <f t="shared" si="86"/>
        <v>627633.29</v>
      </c>
      <c r="CL36" s="91">
        <f t="shared" si="86"/>
        <v>840465.39000000013</v>
      </c>
      <c r="CM36" s="91">
        <f t="shared" si="86"/>
        <v>-684507.19000000006</v>
      </c>
      <c r="CN36" s="91">
        <f t="shared" si="78"/>
        <v>5021245.2799999993</v>
      </c>
      <c r="CO36" s="91">
        <f t="shared" si="78"/>
        <v>2571282.98</v>
      </c>
      <c r="CP36" s="91">
        <f t="shared" si="78"/>
        <v>2850282.22</v>
      </c>
      <c r="CQ36" s="91">
        <f t="shared" si="78"/>
        <v>-2449962.2999999998</v>
      </c>
    </row>
    <row r="37" spans="1:95" ht="16.5" x14ac:dyDescent="0.3">
      <c r="A37" s="9"/>
      <c r="B37" s="38" t="s">
        <v>50</v>
      </c>
      <c r="C37" s="174">
        <v>30000</v>
      </c>
      <c r="D37" s="43">
        <f>6199.38+9523.11+3500+3053+9290</f>
        <v>31565.49</v>
      </c>
      <c r="E37" s="43">
        <f>9983.14+9523.11+9290+3500+3053+6199.38-2307.04-1335.3-1889-1735.3</f>
        <v>34281.989999999991</v>
      </c>
      <c r="F37" s="170">
        <f t="shared" si="70"/>
        <v>1565.4900000000016</v>
      </c>
      <c r="G37" s="83">
        <v>30000</v>
      </c>
      <c r="H37" s="18">
        <f>1779.9</f>
        <v>1779.9</v>
      </c>
      <c r="I37" s="43">
        <f>15446.45+1779.9-56-1211-3460.8</f>
        <v>12498.550000000003</v>
      </c>
      <c r="J37" s="19">
        <f t="shared" si="71"/>
        <v>-28220.1</v>
      </c>
      <c r="K37" s="17">
        <v>30000</v>
      </c>
      <c r="L37" s="18">
        <f>6935.89+7480+1500+4035+2580+1391</f>
        <v>23921.89</v>
      </c>
      <c r="M37" s="18">
        <f>10906.89+11515+1653+1500-3080.8-12422.5-2854.98</f>
        <v>7216.6100000000006</v>
      </c>
      <c r="N37" s="19">
        <f t="shared" si="72"/>
        <v>-6078.1100000000006</v>
      </c>
      <c r="O37" s="17">
        <f t="shared" ref="O37:O50" si="87">C37+G37+K37</f>
        <v>90000</v>
      </c>
      <c r="P37" s="43">
        <f t="shared" si="79"/>
        <v>57267.28</v>
      </c>
      <c r="Q37" s="43">
        <f t="shared" si="79"/>
        <v>53997.149999999994</v>
      </c>
      <c r="R37" s="19">
        <f t="shared" si="80"/>
        <v>-32732.720000000001</v>
      </c>
      <c r="S37" s="17">
        <v>50000</v>
      </c>
      <c r="T37" s="18">
        <f>10858.17+3814+1653</f>
        <v>16325.17</v>
      </c>
      <c r="U37" s="43">
        <f>20243.07+16795.26+3400-17940.77-1455.79-132.5</f>
        <v>20909.27</v>
      </c>
      <c r="V37" s="19">
        <f t="shared" si="75"/>
        <v>-33674.83</v>
      </c>
      <c r="W37" s="17">
        <v>50000</v>
      </c>
      <c r="X37" s="18">
        <f>7262.5+5937.09+3500+1900+1173.25</f>
        <v>19772.84</v>
      </c>
      <c r="Y37" s="37">
        <f>3500+1173.25+1900-551.48</f>
        <v>6021.77</v>
      </c>
      <c r="Z37" s="43">
        <f t="shared" si="35"/>
        <v>-30227.16</v>
      </c>
      <c r="AA37" s="115">
        <v>30000</v>
      </c>
      <c r="AB37" s="43">
        <f>6695.43+2265.6+1539+8160+4191.8</f>
        <v>22851.829999999998</v>
      </c>
      <c r="AC37" s="43">
        <f>14691.83+8160</f>
        <v>22851.83</v>
      </c>
      <c r="AD37" s="19">
        <f t="shared" si="29"/>
        <v>-7148.1700000000019</v>
      </c>
      <c r="AE37" s="17">
        <f t="shared" si="76"/>
        <v>130000</v>
      </c>
      <c r="AF37" s="18">
        <f t="shared" si="76"/>
        <v>58949.84</v>
      </c>
      <c r="AG37" s="18">
        <f>U37+Y37+AC37</f>
        <v>49782.87</v>
      </c>
      <c r="AH37" s="19">
        <f t="shared" si="36"/>
        <v>-71050.16</v>
      </c>
      <c r="AI37" s="17">
        <f t="shared" si="81"/>
        <v>220000</v>
      </c>
      <c r="AJ37" s="18">
        <f t="shared" si="81"/>
        <v>116217.12</v>
      </c>
      <c r="AK37" s="18">
        <f t="shared" si="81"/>
        <v>103780.01999999999</v>
      </c>
      <c r="AL37" s="19">
        <f t="shared" si="65"/>
        <v>-103782.88</v>
      </c>
      <c r="AM37" s="17">
        <v>30000</v>
      </c>
      <c r="AN37" s="18">
        <f>3500+6794.43+3950+12000+3880+34486.86+600+3827.3</f>
        <v>69038.59</v>
      </c>
      <c r="AO37" s="43">
        <f>34486.86+14022.3+174+3880+3500+12000+600+3827.3</f>
        <v>72490.460000000006</v>
      </c>
      <c r="AP37" s="20">
        <f t="shared" si="66"/>
        <v>39038.589999999997</v>
      </c>
      <c r="AQ37" s="17">
        <v>30000</v>
      </c>
      <c r="AR37" s="18">
        <f>7227.87+5740+3742.33</f>
        <v>16710.199999999997</v>
      </c>
      <c r="AS37" s="43">
        <f>6502.45+3345+1774+7284.33+3577.75+5740+239</f>
        <v>28462.53</v>
      </c>
      <c r="AT37" s="20">
        <f t="shared" si="67"/>
        <v>-13289.800000000003</v>
      </c>
      <c r="AU37" s="17">
        <v>50000</v>
      </c>
      <c r="AV37" s="18">
        <f>6299.91+11560+8543.8+4580</f>
        <v>30983.71</v>
      </c>
      <c r="AW37" s="43">
        <f>14843.71+16140+1995+11006.94+145.57-761.84</f>
        <v>43369.380000000005</v>
      </c>
      <c r="AX37" s="20">
        <f t="shared" ref="AX37:AX50" si="88">AV37-AU37</f>
        <v>-19016.29</v>
      </c>
      <c r="AY37" s="17">
        <f t="shared" si="82"/>
        <v>110000</v>
      </c>
      <c r="AZ37" s="18">
        <f t="shared" si="82"/>
        <v>116732.5</v>
      </c>
      <c r="BA37" s="18">
        <f t="shared" si="82"/>
        <v>144322.37</v>
      </c>
      <c r="BB37" s="19">
        <f t="shared" si="68"/>
        <v>6732.5</v>
      </c>
      <c r="BC37" s="190">
        <f t="shared" si="83"/>
        <v>330000</v>
      </c>
      <c r="BD37" s="84">
        <f t="shared" si="83"/>
        <v>232949.62</v>
      </c>
      <c r="BE37" s="84">
        <f>Q37+AG37+BA37</f>
        <v>248102.38999999998</v>
      </c>
      <c r="BF37" s="170">
        <f t="shared" si="42"/>
        <v>-97050.38</v>
      </c>
      <c r="BG37" s="83">
        <v>30000</v>
      </c>
      <c r="BH37" s="18">
        <f>3500+1912+5357.37+1125</f>
        <v>11894.369999999999</v>
      </c>
      <c r="BI37" s="43">
        <f>44827.75+10116.12+3500+1125+1912</f>
        <v>61480.87</v>
      </c>
      <c r="BJ37" s="41">
        <f t="shared" si="30"/>
        <v>-18105.63</v>
      </c>
      <c r="BK37" s="44">
        <v>30000</v>
      </c>
      <c r="BL37" s="43">
        <f>5175+5371.2+4758.75+3850+11340+2925.69+720.9+58.5+5198.25</f>
        <v>39398.29</v>
      </c>
      <c r="BM37" s="43">
        <f>16875.87+5371.2+11340+3850</f>
        <v>37437.07</v>
      </c>
      <c r="BN37" s="41">
        <f t="shared" si="43"/>
        <v>9398.2900000000009</v>
      </c>
      <c r="BO37" s="44">
        <v>30000</v>
      </c>
      <c r="BP37" s="43">
        <f>1430.4+8574.84+5700+1181.5+3400+8025+9000+4952.46</f>
        <v>42264.2</v>
      </c>
      <c r="BQ37" s="43">
        <f>56586.39+16553.56+3400+5700+8025-17048.38-257-4300.83-1175.8-650</f>
        <v>66832.939999999988</v>
      </c>
      <c r="BR37" s="41">
        <f t="shared" si="44"/>
        <v>12264.199999999997</v>
      </c>
      <c r="BS37" s="17">
        <f t="shared" si="58"/>
        <v>90000</v>
      </c>
      <c r="BT37" s="18">
        <f t="shared" si="58"/>
        <v>93556.86</v>
      </c>
      <c r="BU37" s="18">
        <f t="shared" si="58"/>
        <v>165750.88</v>
      </c>
      <c r="BV37" s="20">
        <f t="shared" si="45"/>
        <v>3556.8600000000006</v>
      </c>
      <c r="BW37" s="17">
        <f t="shared" si="84"/>
        <v>200000</v>
      </c>
      <c r="BX37" s="18">
        <f t="shared" si="84"/>
        <v>210289.36</v>
      </c>
      <c r="BY37" s="18">
        <f t="shared" si="84"/>
        <v>310073.25</v>
      </c>
      <c r="BZ37" s="20">
        <f t="shared" si="46"/>
        <v>10289.359999999986</v>
      </c>
      <c r="CA37" s="17">
        <f t="shared" si="85"/>
        <v>420000</v>
      </c>
      <c r="CB37" s="18">
        <f t="shared" si="85"/>
        <v>326506.48</v>
      </c>
      <c r="CC37" s="43">
        <f t="shared" si="85"/>
        <v>413853.27</v>
      </c>
      <c r="CD37" s="20">
        <f t="shared" si="47"/>
        <v>-93493.520000000019</v>
      </c>
      <c r="CH37" s="3"/>
      <c r="CJ37" s="91">
        <f t="shared" si="86"/>
        <v>90000</v>
      </c>
      <c r="CK37" s="91">
        <f t="shared" si="86"/>
        <v>93556.86</v>
      </c>
      <c r="CL37" s="91">
        <f t="shared" si="86"/>
        <v>165750.88</v>
      </c>
      <c r="CM37" s="91">
        <f t="shared" si="86"/>
        <v>3556.8599999999969</v>
      </c>
      <c r="CN37" s="91">
        <f t="shared" si="78"/>
        <v>420000</v>
      </c>
      <c r="CO37" s="91">
        <f t="shared" si="78"/>
        <v>326506.48</v>
      </c>
      <c r="CP37" s="91">
        <f t="shared" si="78"/>
        <v>413853.27</v>
      </c>
      <c r="CQ37" s="91">
        <f t="shared" si="78"/>
        <v>-93493.52</v>
      </c>
    </row>
    <row r="38" spans="1:95" ht="16.5" x14ac:dyDescent="0.3">
      <c r="A38" s="9">
        <v>6</v>
      </c>
      <c r="B38" s="39" t="s">
        <v>51</v>
      </c>
      <c r="C38" s="174">
        <v>6232.17</v>
      </c>
      <c r="D38" s="18"/>
      <c r="E38" s="43"/>
      <c r="F38" s="170">
        <f t="shared" si="70"/>
        <v>-6232.17</v>
      </c>
      <c r="G38" s="83">
        <v>121860.13</v>
      </c>
      <c r="H38" s="18"/>
      <c r="I38" s="118"/>
      <c r="J38" s="19">
        <f t="shared" si="71"/>
        <v>-121860.13</v>
      </c>
      <c r="K38" s="17">
        <f>73579.63-0.74</f>
        <v>73578.89</v>
      </c>
      <c r="L38" s="18"/>
      <c r="M38" s="43"/>
      <c r="N38" s="19">
        <f t="shared" si="72"/>
        <v>-73578.89</v>
      </c>
      <c r="O38" s="17">
        <f t="shared" si="87"/>
        <v>201671.19</v>
      </c>
      <c r="P38" s="43">
        <f t="shared" si="79"/>
        <v>0</v>
      </c>
      <c r="Q38" s="43">
        <f t="shared" si="79"/>
        <v>0</v>
      </c>
      <c r="R38" s="19">
        <f t="shared" si="80"/>
        <v>-201671.19</v>
      </c>
      <c r="S38" s="17">
        <v>39814.620000000003</v>
      </c>
      <c r="T38" s="18"/>
      <c r="U38" s="18"/>
      <c r="V38" s="19">
        <f t="shared" si="75"/>
        <v>-39814.620000000003</v>
      </c>
      <c r="W38" s="83">
        <v>170328.95</v>
      </c>
      <c r="X38" s="18"/>
      <c r="Y38" s="19"/>
      <c r="Z38" s="18">
        <f t="shared" si="35"/>
        <v>-170328.95</v>
      </c>
      <c r="AA38" s="83">
        <v>74617.490000000005</v>
      </c>
      <c r="AB38" s="18"/>
      <c r="AC38" s="43"/>
      <c r="AD38" s="19">
        <f t="shared" si="29"/>
        <v>-74617.490000000005</v>
      </c>
      <c r="AE38" s="17">
        <f t="shared" si="76"/>
        <v>284761.06</v>
      </c>
      <c r="AF38" s="18"/>
      <c r="AG38" s="18"/>
      <c r="AH38" s="19">
        <f t="shared" si="36"/>
        <v>-284761.06</v>
      </c>
      <c r="AI38" s="17">
        <f>AE38+O38</f>
        <v>486432.25</v>
      </c>
      <c r="AJ38" s="18"/>
      <c r="AK38" s="18"/>
      <c r="AL38" s="19"/>
      <c r="AM38" s="17">
        <v>70157.649999999994</v>
      </c>
      <c r="AN38" s="18"/>
      <c r="AO38" s="43"/>
      <c r="AP38" s="20">
        <f t="shared" si="66"/>
        <v>-70157.649999999994</v>
      </c>
      <c r="AQ38" s="17">
        <v>62263.38</v>
      </c>
      <c r="AR38" s="18"/>
      <c r="AS38" s="43"/>
      <c r="AT38" s="20">
        <f t="shared" si="67"/>
        <v>-62263.38</v>
      </c>
      <c r="AU38" s="17">
        <v>60960.51</v>
      </c>
      <c r="AV38" s="18"/>
      <c r="AW38" s="43"/>
      <c r="AX38" s="20">
        <f t="shared" si="88"/>
        <v>-60960.51</v>
      </c>
      <c r="AY38" s="17">
        <f t="shared" si="82"/>
        <v>193381.54</v>
      </c>
      <c r="AZ38" s="18"/>
      <c r="BA38" s="18"/>
      <c r="BB38" s="19"/>
      <c r="BC38" s="190">
        <f t="shared" si="83"/>
        <v>679813.79</v>
      </c>
      <c r="BD38" s="84">
        <f t="shared" si="83"/>
        <v>0</v>
      </c>
      <c r="BE38" s="84">
        <f>Q38+AG38+BA38</f>
        <v>0</v>
      </c>
      <c r="BF38" s="170">
        <f t="shared" si="42"/>
        <v>-679813.79</v>
      </c>
      <c r="BG38" s="83">
        <v>12010.51</v>
      </c>
      <c r="BH38" s="18"/>
      <c r="BI38" s="43"/>
      <c r="BJ38" s="41">
        <f t="shared" si="30"/>
        <v>-12010.51</v>
      </c>
      <c r="BK38" s="44">
        <v>11604.1</v>
      </c>
      <c r="BL38" s="43"/>
      <c r="BM38" s="43"/>
      <c r="BN38" s="41">
        <f t="shared" si="43"/>
        <v>-11604.1</v>
      </c>
      <c r="BO38" s="44">
        <v>11695.5</v>
      </c>
      <c r="BP38" s="43"/>
      <c r="BQ38" s="43"/>
      <c r="BR38" s="41">
        <f t="shared" si="44"/>
        <v>-11695.5</v>
      </c>
      <c r="BS38" s="17">
        <f t="shared" si="58"/>
        <v>35310.11</v>
      </c>
      <c r="BT38" s="18">
        <f t="shared" si="58"/>
        <v>0</v>
      </c>
      <c r="BU38" s="18">
        <f t="shared" si="58"/>
        <v>0</v>
      </c>
      <c r="BV38" s="20">
        <f t="shared" si="45"/>
        <v>-35310.11</v>
      </c>
      <c r="BW38" s="17">
        <f t="shared" si="84"/>
        <v>228691.65000000002</v>
      </c>
      <c r="BX38" s="18">
        <f t="shared" si="84"/>
        <v>0</v>
      </c>
      <c r="BY38" s="18">
        <f t="shared" si="84"/>
        <v>0</v>
      </c>
      <c r="BZ38" s="20">
        <f t="shared" si="46"/>
        <v>-228691.65000000002</v>
      </c>
      <c r="CA38" s="17">
        <f>BW38+AI38</f>
        <v>715123.9</v>
      </c>
      <c r="CB38" s="18"/>
      <c r="CC38" s="43">
        <f t="shared" si="85"/>
        <v>0</v>
      </c>
      <c r="CD38" s="20"/>
      <c r="CH38" s="3"/>
      <c r="CJ38" s="91">
        <f t="shared" si="86"/>
        <v>35310.11</v>
      </c>
      <c r="CK38" s="91">
        <f t="shared" si="86"/>
        <v>0</v>
      </c>
      <c r="CL38" s="91">
        <f t="shared" si="86"/>
        <v>0</v>
      </c>
      <c r="CM38" s="91">
        <f t="shared" si="86"/>
        <v>-35310.11</v>
      </c>
      <c r="CN38" s="91">
        <f t="shared" si="78"/>
        <v>715123.9</v>
      </c>
      <c r="CO38" s="91">
        <f t="shared" si="78"/>
        <v>0</v>
      </c>
      <c r="CP38" s="91">
        <f t="shared" si="78"/>
        <v>0</v>
      </c>
      <c r="CQ38" s="91">
        <f t="shared" si="78"/>
        <v>-521742.36</v>
      </c>
    </row>
    <row r="39" spans="1:95" ht="16.5" x14ac:dyDescent="0.3">
      <c r="A39" s="9">
        <v>7</v>
      </c>
      <c r="B39" s="10" t="s">
        <v>52</v>
      </c>
      <c r="C39" s="168">
        <f>C40+C41++C44+C45+C48+C51+C55</f>
        <v>357500</v>
      </c>
      <c r="D39" s="31">
        <f>D40+D41++D44+D45+D48+D51+D55</f>
        <v>114662.85</v>
      </c>
      <c r="E39" s="95">
        <f>E40+E41++E44+E45+E48+E51+E55</f>
        <v>182062.84999999998</v>
      </c>
      <c r="F39" s="170">
        <f t="shared" si="70"/>
        <v>-242837.15</v>
      </c>
      <c r="G39" s="89">
        <f>G40+G41++G44+G45+G48+G51+G55</f>
        <v>357500</v>
      </c>
      <c r="H39" s="31">
        <f>H40+H41++H44+H45+H48+H51+H55</f>
        <v>414424.24000000005</v>
      </c>
      <c r="I39" s="95">
        <f>I40+I41++I44+I45+I48+I51+I55</f>
        <v>295313.28000000003</v>
      </c>
      <c r="J39" s="19">
        <f t="shared" si="71"/>
        <v>56924.240000000049</v>
      </c>
      <c r="K39" s="31">
        <f>K40+K41++K44+K45+K48+K51+K55</f>
        <v>362500</v>
      </c>
      <c r="L39" s="31">
        <f>L40+L41++L44+L45+L48+L51+L55</f>
        <v>409617.62</v>
      </c>
      <c r="M39" s="95">
        <f>M40+M41++M44+M45+M48+M51+M55</f>
        <v>729888.61</v>
      </c>
      <c r="N39" s="19">
        <f t="shared" si="72"/>
        <v>47117.619999999995</v>
      </c>
      <c r="O39" s="95">
        <f t="shared" ref="O39" si="89">K39+G39+C39</f>
        <v>1077500</v>
      </c>
      <c r="P39" s="95">
        <f t="shared" si="79"/>
        <v>938704.71000000008</v>
      </c>
      <c r="Q39" s="95">
        <f t="shared" si="79"/>
        <v>1207264.74</v>
      </c>
      <c r="R39" s="30">
        <f t="shared" si="80"/>
        <v>-138795.28999999992</v>
      </c>
      <c r="S39" s="31">
        <f>S40+S41++S44+S45+S48+S51+S55</f>
        <v>254000</v>
      </c>
      <c r="T39" s="31">
        <f>T40+T41++T44+T45+T48+T51+T55</f>
        <v>42265.33</v>
      </c>
      <c r="U39" s="31">
        <f>U40+U41++U44+U45+U48+U51+U55</f>
        <v>77665.62</v>
      </c>
      <c r="V39" s="30">
        <f t="shared" si="75"/>
        <v>-211734.66999999998</v>
      </c>
      <c r="W39" s="31">
        <f>W40+W41++W44+W45+W48+W51+W55</f>
        <v>594000</v>
      </c>
      <c r="X39" s="31">
        <f>X40+X41++X44+X45+X48+X51+X55</f>
        <v>117785.85</v>
      </c>
      <c r="Y39" s="30">
        <f>Y40+Y41++Y44+Y45+Y48+Y51+Y55</f>
        <v>173656.96000000002</v>
      </c>
      <c r="Z39" s="31">
        <f t="shared" si="35"/>
        <v>-476214.15</v>
      </c>
      <c r="AA39" s="89">
        <f>AA40+AA41++AA44+AA45+AA48+AA51+AA55</f>
        <v>364000</v>
      </c>
      <c r="AB39" s="31">
        <f>AB40+AB41++AB44+AB45+AB48+AB51+AB55</f>
        <v>357850.96</v>
      </c>
      <c r="AC39" s="95">
        <f>AC40+AC41++AC44+AC45+AC48+AC51+AC55</f>
        <v>223348.90999999997</v>
      </c>
      <c r="AD39" s="30">
        <f t="shared" si="29"/>
        <v>-6149.039999999979</v>
      </c>
      <c r="AE39" s="25">
        <f>AE40+AE41++AE44+AE45+AE48+AE51+AE55</f>
        <v>1212000</v>
      </c>
      <c r="AF39" s="31">
        <f>AF40+AF41++AF44+AF45+AF48+AF51+AF55</f>
        <v>517902.14</v>
      </c>
      <c r="AG39" s="31">
        <f>AG40+AG41++AG44+AG45+AG48+AG51+AG55</f>
        <v>474671.49000000005</v>
      </c>
      <c r="AH39" s="19">
        <f t="shared" si="36"/>
        <v>-694097.86</v>
      </c>
      <c r="AI39" s="25">
        <f>AI40+AI41++AI44+AI45+AI48+AI51+AI55</f>
        <v>2289500</v>
      </c>
      <c r="AJ39" s="31">
        <f>AJ40+AJ41++AJ44+AJ45+AJ48+AJ51+AJ55</f>
        <v>1456606.85</v>
      </c>
      <c r="AK39" s="31">
        <f>AK40+AK41++AK44+AK45+AK48+AK51+AK55</f>
        <v>1681936.23</v>
      </c>
      <c r="AL39" s="30">
        <f t="shared" ref="AL39:AL50" si="90">AJ39-AI39</f>
        <v>-832893.14999999991</v>
      </c>
      <c r="AM39" s="25">
        <f>AM40+AM41++AM44+AM45+AM48+AM51+AM55</f>
        <v>219000</v>
      </c>
      <c r="AN39" s="31">
        <f>AN40+AN41++AN44+AN45+AN48+AN51+AN55</f>
        <v>233144.15000000002</v>
      </c>
      <c r="AO39" s="95">
        <f>AO40+AO41++AO44+AO45+AO48+AO51+AO55</f>
        <v>566684.52</v>
      </c>
      <c r="AP39" s="32">
        <f t="shared" si="66"/>
        <v>14144.150000000023</v>
      </c>
      <c r="AQ39" s="25">
        <f>AQ40+AQ41++AQ44+AQ45+AQ48+AQ51+AQ55</f>
        <v>400000</v>
      </c>
      <c r="AR39" s="31">
        <f>AR40+AR41++AR44+AR45+AR48+AR51+AR55</f>
        <v>544299.71</v>
      </c>
      <c r="AS39" s="95">
        <f>AS40+AS41++AS44+AS45+AS48+AS51+AS55</f>
        <v>517622.09999999992</v>
      </c>
      <c r="AT39" s="32">
        <f t="shared" si="67"/>
        <v>144299.70999999996</v>
      </c>
      <c r="AU39" s="25">
        <f>AU40+AU41++AU44+AU45+AU48+AU51+AU55</f>
        <v>304000</v>
      </c>
      <c r="AV39" s="31">
        <f>AV40+AV41++AV44+AV45+AV48+AV51+AV55</f>
        <v>408381.52</v>
      </c>
      <c r="AW39" s="95">
        <f>AW40+AW41++AW44+AW45+AW48+AW51+AW55</f>
        <v>293472.16000000003</v>
      </c>
      <c r="AX39" s="32">
        <f t="shared" si="88"/>
        <v>104381.52000000002</v>
      </c>
      <c r="AY39" s="25">
        <f>AY40+AY41++AY44+AY45+AY48+AY51+AY55</f>
        <v>923000</v>
      </c>
      <c r="AZ39" s="25">
        <f>AZ40+AZ41++AZ44+AZ45+AZ48+AZ51+AZ55</f>
        <v>1185825.3800000001</v>
      </c>
      <c r="BA39" s="25">
        <f>BA40+BA41++BA44+BA45+BA48+BA51+BA55</f>
        <v>1377778.78</v>
      </c>
      <c r="BB39" s="30">
        <f t="shared" ref="BB39:BB50" si="91">AZ39-AY39</f>
        <v>262825.38000000012</v>
      </c>
      <c r="BC39" s="191">
        <f t="shared" si="83"/>
        <v>3212500</v>
      </c>
      <c r="BD39" s="96">
        <f t="shared" si="83"/>
        <v>2642432.2300000004</v>
      </c>
      <c r="BE39" s="96">
        <f>(AK39+BA39)</f>
        <v>3059715.01</v>
      </c>
      <c r="BF39" s="178">
        <f t="shared" si="42"/>
        <v>-570067.76999999955</v>
      </c>
      <c r="BG39" s="89">
        <f>BG40+BG41++BG44+BG45+BG48+BG51+BG55</f>
        <v>351950</v>
      </c>
      <c r="BH39" s="25">
        <f>BH40+BH41++BH44+BH45+BH48+BH51+BH55</f>
        <v>408944.10000000003</v>
      </c>
      <c r="BI39" s="90">
        <f>BI40+BI41++BI44+BI45+BI48+BI51+BI55</f>
        <v>457268.1</v>
      </c>
      <c r="BJ39" s="27">
        <f t="shared" si="30"/>
        <v>56994.100000000035</v>
      </c>
      <c r="BK39" s="90">
        <f>BK40+BK41++BK44+BK45+BK48+BK51+BK55</f>
        <v>431500</v>
      </c>
      <c r="BL39" s="90">
        <f>BL40+BL41++BL44+BL45+BL48+BL51+BL55</f>
        <v>603639.18999999994</v>
      </c>
      <c r="BM39" s="90">
        <f>BM40+BM41++BM44+BM45+BM48+BM51+BM55</f>
        <v>805131.42</v>
      </c>
      <c r="BN39" s="27">
        <f t="shared" si="43"/>
        <v>172139.18999999994</v>
      </c>
      <c r="BO39" s="90">
        <f>BO40+BO41++BO44+BO45+BO48+BO51+BO55</f>
        <v>222500</v>
      </c>
      <c r="BP39" s="90">
        <f>BP40+BP41++BP44+BP45+BP48+BP51+BP55</f>
        <v>407166.16</v>
      </c>
      <c r="BQ39" s="90">
        <f>BQ40+BQ41++BQ44+BQ45+BQ48+BQ51+BQ55</f>
        <v>493066.53</v>
      </c>
      <c r="BR39" s="27">
        <f t="shared" si="44"/>
        <v>184666.15999999997</v>
      </c>
      <c r="BS39" s="25">
        <f t="shared" si="58"/>
        <v>1005950</v>
      </c>
      <c r="BT39" s="31">
        <f t="shared" si="58"/>
        <v>1419749.45</v>
      </c>
      <c r="BU39" s="31">
        <f t="shared" si="58"/>
        <v>1755466.05</v>
      </c>
      <c r="BV39" s="32">
        <f t="shared" si="45"/>
        <v>413799.44999999995</v>
      </c>
      <c r="BW39" s="25">
        <f t="shared" si="84"/>
        <v>1928950</v>
      </c>
      <c r="BX39" s="31">
        <f t="shared" si="84"/>
        <v>2605574.83</v>
      </c>
      <c r="BY39" s="31">
        <f t="shared" si="84"/>
        <v>3133244.83</v>
      </c>
      <c r="BZ39" s="32">
        <f t="shared" si="46"/>
        <v>676624.83000000007</v>
      </c>
      <c r="CA39" s="25">
        <f>CA40+CA41++CA44+CA45+CA48+CA51+CA55</f>
        <v>4218450</v>
      </c>
      <c r="CB39" s="25">
        <f>CB40+CB41++CB44+CB45+CB48+CB51+CB55</f>
        <v>4062181.6800000006</v>
      </c>
      <c r="CC39" s="25">
        <f>CC40+CC41++CC44+CC45+CC48+CC51+CC55</f>
        <v>4815181.0600000005</v>
      </c>
      <c r="CD39" s="32">
        <f t="shared" ref="CD39:CD50" si="92">CB39-CA39</f>
        <v>-156268.31999999937</v>
      </c>
      <c r="CF39" s="3"/>
      <c r="CH39" s="3"/>
      <c r="CJ39" s="208">
        <f>CJ40+CJ41+CJ44+CJ45+CJ48+CJ51+CJ55</f>
        <v>938300</v>
      </c>
      <c r="CK39" s="208">
        <f>CK40+CK41+CK44+CK45+CK48+CK51+CK55</f>
        <v>414716.76</v>
      </c>
      <c r="CL39" s="208">
        <f>CL40+CL41+CL44+CL45+CL48+CL51+CL55</f>
        <v>757133.17</v>
      </c>
      <c r="CM39" s="208">
        <f>CM40+CM41+CM44+CM45+CM48+CM51+CM55</f>
        <v>-523583.24</v>
      </c>
      <c r="CN39" s="208">
        <f t="shared" si="78"/>
        <v>4150800</v>
      </c>
      <c r="CO39" s="208">
        <f t="shared" si="78"/>
        <v>3057148.99</v>
      </c>
      <c r="CP39" s="208">
        <f t="shared" si="78"/>
        <v>3816848.1799999997</v>
      </c>
      <c r="CQ39" s="208">
        <f t="shared" si="78"/>
        <v>-1093651.0099999998</v>
      </c>
    </row>
    <row r="40" spans="1:95" ht="24.2" customHeight="1" x14ac:dyDescent="0.3">
      <c r="A40" s="9">
        <v>7.1</v>
      </c>
      <c r="B40" s="39" t="s">
        <v>53</v>
      </c>
      <c r="C40" s="174"/>
      <c r="D40" s="119"/>
      <c r="E40" s="95"/>
      <c r="F40" s="170">
        <f t="shared" si="70"/>
        <v>0</v>
      </c>
      <c r="G40" s="83"/>
      <c r="H40" s="120"/>
      <c r="I40" s="95"/>
      <c r="J40" s="19">
        <f t="shared" si="71"/>
        <v>0</v>
      </c>
      <c r="K40" s="17"/>
      <c r="L40" s="120"/>
      <c r="M40" s="95"/>
      <c r="N40" s="19">
        <f t="shared" si="72"/>
        <v>0</v>
      </c>
      <c r="O40" s="17">
        <f t="shared" si="87"/>
        <v>0</v>
      </c>
      <c r="P40" s="43">
        <f t="shared" si="79"/>
        <v>0</v>
      </c>
      <c r="Q40" s="43">
        <f t="shared" si="79"/>
        <v>0</v>
      </c>
      <c r="R40" s="19">
        <f t="shared" si="80"/>
        <v>0</v>
      </c>
      <c r="S40" s="17">
        <v>1500</v>
      </c>
      <c r="T40" s="120"/>
      <c r="U40" s="31"/>
      <c r="V40" s="19">
        <f t="shared" si="75"/>
        <v>-1500</v>
      </c>
      <c r="W40" s="17">
        <v>1500</v>
      </c>
      <c r="X40" s="120"/>
      <c r="Y40" s="30"/>
      <c r="Z40" s="18">
        <f t="shared" si="35"/>
        <v>-1500</v>
      </c>
      <c r="AA40" s="83">
        <v>1500</v>
      </c>
      <c r="AB40" s="120"/>
      <c r="AC40" s="43"/>
      <c r="AD40" s="19">
        <f t="shared" si="29"/>
        <v>-1500</v>
      </c>
      <c r="AE40" s="17">
        <f t="shared" ref="AE40:AG50" si="93">S40+W40+AA40</f>
        <v>4500</v>
      </c>
      <c r="AF40" s="18">
        <f t="shared" si="93"/>
        <v>0</v>
      </c>
      <c r="AG40" s="18">
        <f t="shared" si="93"/>
        <v>0</v>
      </c>
      <c r="AH40" s="19">
        <f t="shared" si="36"/>
        <v>-4500</v>
      </c>
      <c r="AI40" s="17">
        <f t="shared" ref="AI40:AK50" si="94">AE40+O40</f>
        <v>4500</v>
      </c>
      <c r="AJ40" s="18">
        <f t="shared" si="94"/>
        <v>0</v>
      </c>
      <c r="AK40" s="18">
        <f t="shared" si="94"/>
        <v>0</v>
      </c>
      <c r="AL40" s="19">
        <f t="shared" si="90"/>
        <v>-4500</v>
      </c>
      <c r="AM40" s="17">
        <v>1500</v>
      </c>
      <c r="AN40" s="121"/>
      <c r="AO40" s="43"/>
      <c r="AP40" s="20">
        <f t="shared" si="66"/>
        <v>-1500</v>
      </c>
      <c r="AQ40" s="17">
        <v>1500</v>
      </c>
      <c r="AR40" s="18"/>
      <c r="AS40" s="43"/>
      <c r="AT40" s="20">
        <f t="shared" si="67"/>
        <v>-1500</v>
      </c>
      <c r="AU40" s="17">
        <v>1500</v>
      </c>
      <c r="AV40" s="18"/>
      <c r="AW40" s="43"/>
      <c r="AX40" s="20">
        <f t="shared" si="88"/>
        <v>-1500</v>
      </c>
      <c r="AY40" s="17">
        <f t="shared" ref="AY40:BA50" si="95">AM40+AQ40+AU40</f>
        <v>4500</v>
      </c>
      <c r="AZ40" s="17">
        <f t="shared" si="95"/>
        <v>0</v>
      </c>
      <c r="BA40" s="18">
        <f t="shared" si="95"/>
        <v>0</v>
      </c>
      <c r="BB40" s="19">
        <f t="shared" si="91"/>
        <v>-4500</v>
      </c>
      <c r="BC40" s="190">
        <f t="shared" si="83"/>
        <v>9000</v>
      </c>
      <c r="BD40" s="84">
        <f t="shared" si="83"/>
        <v>0</v>
      </c>
      <c r="BE40" s="84">
        <f>Q40+AG40+BA40</f>
        <v>0</v>
      </c>
      <c r="BF40" s="170">
        <f t="shared" si="42"/>
        <v>-9000</v>
      </c>
      <c r="BG40" s="83">
        <v>1800</v>
      </c>
      <c r="BH40" s="122"/>
      <c r="BI40" s="18"/>
      <c r="BJ40" s="41">
        <f t="shared" si="30"/>
        <v>-1800</v>
      </c>
      <c r="BK40" s="17"/>
      <c r="BL40" s="18">
        <v>21945</v>
      </c>
      <c r="BM40" s="18"/>
      <c r="BN40" s="41">
        <f t="shared" si="43"/>
        <v>21945</v>
      </c>
      <c r="BO40" s="17"/>
      <c r="BP40" s="18"/>
      <c r="BQ40" s="31">
        <v>21945</v>
      </c>
      <c r="BR40" s="41">
        <f t="shared" si="44"/>
        <v>0</v>
      </c>
      <c r="BS40" s="17">
        <f t="shared" si="58"/>
        <v>1800</v>
      </c>
      <c r="BT40" s="18">
        <f t="shared" si="58"/>
        <v>21945</v>
      </c>
      <c r="BU40" s="18">
        <f t="shared" si="58"/>
        <v>21945</v>
      </c>
      <c r="BV40" s="20">
        <f t="shared" si="45"/>
        <v>20145</v>
      </c>
      <c r="BW40" s="17">
        <f t="shared" si="84"/>
        <v>6300</v>
      </c>
      <c r="BX40" s="17">
        <f t="shared" si="84"/>
        <v>21945</v>
      </c>
      <c r="BY40" s="18">
        <f t="shared" si="84"/>
        <v>21945</v>
      </c>
      <c r="BZ40" s="20">
        <f t="shared" si="46"/>
        <v>15645</v>
      </c>
      <c r="CA40" s="17">
        <f t="shared" ref="CA40:CC46" si="96">BW40+AI40</f>
        <v>10800</v>
      </c>
      <c r="CB40" s="18">
        <f t="shared" si="96"/>
        <v>21945</v>
      </c>
      <c r="CC40" s="18">
        <f t="shared" si="96"/>
        <v>21945</v>
      </c>
      <c r="CD40" s="20">
        <f t="shared" si="92"/>
        <v>11145</v>
      </c>
      <c r="CH40" s="3"/>
      <c r="CJ40" s="91">
        <f t="shared" ref="CJ40:CM41" si="97">BG40+BK40+BO40</f>
        <v>1800</v>
      </c>
      <c r="CK40" s="91">
        <f t="shared" si="97"/>
        <v>21945</v>
      </c>
      <c r="CL40" s="91">
        <f t="shared" si="97"/>
        <v>21945</v>
      </c>
      <c r="CM40" s="91">
        <f t="shared" si="97"/>
        <v>20145</v>
      </c>
      <c r="CN40" s="91">
        <f t="shared" si="78"/>
        <v>10800</v>
      </c>
      <c r="CO40" s="91">
        <f t="shared" si="78"/>
        <v>21945</v>
      </c>
      <c r="CP40" s="91">
        <f t="shared" si="78"/>
        <v>21945</v>
      </c>
      <c r="CQ40" s="91">
        <f t="shared" si="78"/>
        <v>11145</v>
      </c>
    </row>
    <row r="41" spans="1:95" ht="21.4" customHeight="1" x14ac:dyDescent="0.3">
      <c r="A41" s="9">
        <v>7.2</v>
      </c>
      <c r="B41" s="123" t="s">
        <v>54</v>
      </c>
      <c r="C41" s="174">
        <v>10000</v>
      </c>
      <c r="D41" s="18">
        <v>5807.5</v>
      </c>
      <c r="E41" s="43">
        <v>5807.5</v>
      </c>
      <c r="F41" s="170">
        <f t="shared" si="70"/>
        <v>-4192.5</v>
      </c>
      <c r="G41" s="83">
        <v>10000</v>
      </c>
      <c r="H41" s="120">
        <v>9350</v>
      </c>
      <c r="I41" s="18">
        <f>9350</f>
        <v>9350</v>
      </c>
      <c r="J41" s="19">
        <f t="shared" si="71"/>
        <v>-650</v>
      </c>
      <c r="K41" s="17">
        <v>10000</v>
      </c>
      <c r="L41" s="18">
        <f>23450+14250</f>
        <v>37700</v>
      </c>
      <c r="M41" s="43">
        <f>23450+14250</f>
        <v>37700</v>
      </c>
      <c r="N41" s="19">
        <f t="shared" si="72"/>
        <v>27700</v>
      </c>
      <c r="O41" s="17">
        <f t="shared" si="87"/>
        <v>30000</v>
      </c>
      <c r="P41" s="43">
        <f t="shared" si="79"/>
        <v>52857.5</v>
      </c>
      <c r="Q41" s="43">
        <f t="shared" si="79"/>
        <v>52857.5</v>
      </c>
      <c r="R41" s="19">
        <f t="shared" si="80"/>
        <v>22857.5</v>
      </c>
      <c r="S41" s="17">
        <v>10000</v>
      </c>
      <c r="T41" s="18"/>
      <c r="U41" s="18"/>
      <c r="V41" s="19">
        <f t="shared" si="75"/>
        <v>-10000</v>
      </c>
      <c r="W41" s="17">
        <v>10000</v>
      </c>
      <c r="X41" s="120">
        <v>16500</v>
      </c>
      <c r="Y41" s="19">
        <v>16500</v>
      </c>
      <c r="Z41" s="18">
        <f t="shared" si="35"/>
        <v>6500</v>
      </c>
      <c r="AA41" s="83">
        <v>10000</v>
      </c>
      <c r="AB41" s="18">
        <v>16500</v>
      </c>
      <c r="AC41" s="43">
        <v>16500</v>
      </c>
      <c r="AD41" s="19">
        <f t="shared" si="29"/>
        <v>6500</v>
      </c>
      <c r="AE41" s="17">
        <f t="shared" si="93"/>
        <v>30000</v>
      </c>
      <c r="AF41" s="18">
        <f t="shared" si="93"/>
        <v>33000</v>
      </c>
      <c r="AG41" s="18">
        <f t="shared" si="93"/>
        <v>33000</v>
      </c>
      <c r="AH41" s="19">
        <f t="shared" si="36"/>
        <v>3000</v>
      </c>
      <c r="AI41" s="17">
        <f t="shared" si="94"/>
        <v>60000</v>
      </c>
      <c r="AJ41" s="18">
        <f t="shared" si="94"/>
        <v>85857.5</v>
      </c>
      <c r="AK41" s="18">
        <f t="shared" si="94"/>
        <v>85857.5</v>
      </c>
      <c r="AL41" s="19">
        <f t="shared" si="90"/>
        <v>25857.5</v>
      </c>
      <c r="AM41" s="17">
        <v>10000</v>
      </c>
      <c r="AN41" s="18">
        <v>11034</v>
      </c>
      <c r="AO41" s="43">
        <v>11034</v>
      </c>
      <c r="AP41" s="20">
        <f t="shared" si="66"/>
        <v>1034</v>
      </c>
      <c r="AQ41" s="17">
        <v>10000</v>
      </c>
      <c r="AR41" s="18">
        <v>6037.5</v>
      </c>
      <c r="AS41" s="43">
        <v>6037.5</v>
      </c>
      <c r="AT41" s="20">
        <f t="shared" si="67"/>
        <v>-3962.5</v>
      </c>
      <c r="AU41" s="17">
        <v>10000</v>
      </c>
      <c r="AV41" s="18"/>
      <c r="AW41" s="43"/>
      <c r="AX41" s="20">
        <f t="shared" si="88"/>
        <v>-10000</v>
      </c>
      <c r="AY41" s="17">
        <f t="shared" si="95"/>
        <v>30000</v>
      </c>
      <c r="AZ41" s="18">
        <f t="shared" si="95"/>
        <v>17071.5</v>
      </c>
      <c r="BA41" s="18">
        <f t="shared" si="95"/>
        <v>17071.5</v>
      </c>
      <c r="BB41" s="19">
        <f t="shared" si="91"/>
        <v>-12928.5</v>
      </c>
      <c r="BC41" s="194">
        <f t="shared" si="83"/>
        <v>90000</v>
      </c>
      <c r="BD41" s="124">
        <f t="shared" si="83"/>
        <v>102929</v>
      </c>
      <c r="BE41" s="84">
        <f t="shared" ref="BE41:BE50" si="98">Q41+AG41+BA41</f>
        <v>102929</v>
      </c>
      <c r="BF41" s="170">
        <f t="shared" si="42"/>
        <v>12929</v>
      </c>
      <c r="BG41" s="83">
        <v>10000</v>
      </c>
      <c r="BH41" s="122"/>
      <c r="BI41" s="18"/>
      <c r="BJ41" s="41">
        <f t="shared" si="30"/>
        <v>-10000</v>
      </c>
      <c r="BK41" s="17">
        <v>10000</v>
      </c>
      <c r="BL41" s="18">
        <v>52561</v>
      </c>
      <c r="BM41" s="18">
        <v>52561</v>
      </c>
      <c r="BN41" s="41">
        <f t="shared" si="43"/>
        <v>42561</v>
      </c>
      <c r="BO41" s="17">
        <v>10000</v>
      </c>
      <c r="BP41" s="18"/>
      <c r="BQ41" s="31"/>
      <c r="BR41" s="27">
        <f t="shared" si="44"/>
        <v>-10000</v>
      </c>
      <c r="BS41" s="17">
        <f t="shared" si="58"/>
        <v>30000</v>
      </c>
      <c r="BT41" s="18">
        <f t="shared" si="58"/>
        <v>52561</v>
      </c>
      <c r="BU41" s="18">
        <f t="shared" si="58"/>
        <v>52561</v>
      </c>
      <c r="BV41" s="20">
        <f t="shared" si="45"/>
        <v>22561</v>
      </c>
      <c r="BW41" s="17">
        <f t="shared" si="84"/>
        <v>60000</v>
      </c>
      <c r="BX41" s="18">
        <f t="shared" si="84"/>
        <v>69632.5</v>
      </c>
      <c r="BY41" s="18">
        <f t="shared" si="84"/>
        <v>69632.5</v>
      </c>
      <c r="BZ41" s="20">
        <f t="shared" si="46"/>
        <v>9632.5</v>
      </c>
      <c r="CA41" s="25">
        <f t="shared" si="96"/>
        <v>120000</v>
      </c>
      <c r="CB41" s="31">
        <f t="shared" si="96"/>
        <v>155490</v>
      </c>
      <c r="CC41" s="31">
        <f t="shared" si="96"/>
        <v>155490</v>
      </c>
      <c r="CD41" s="32">
        <f t="shared" si="92"/>
        <v>35490</v>
      </c>
      <c r="CH41" s="3"/>
      <c r="CJ41" s="91">
        <f t="shared" si="97"/>
        <v>30000</v>
      </c>
      <c r="CK41" s="91">
        <f t="shared" si="97"/>
        <v>52561</v>
      </c>
      <c r="CL41" s="91">
        <f t="shared" si="97"/>
        <v>52561</v>
      </c>
      <c r="CM41" s="91">
        <f t="shared" si="97"/>
        <v>22561</v>
      </c>
      <c r="CN41" s="91">
        <f t="shared" si="78"/>
        <v>120000</v>
      </c>
      <c r="CO41" s="91">
        <f t="shared" si="78"/>
        <v>155490</v>
      </c>
      <c r="CP41" s="91">
        <f t="shared" si="78"/>
        <v>155490</v>
      </c>
      <c r="CQ41" s="91">
        <f t="shared" si="78"/>
        <v>35490</v>
      </c>
    </row>
    <row r="42" spans="1:95" ht="16.5" hidden="1" x14ac:dyDescent="0.3">
      <c r="A42" s="9"/>
      <c r="B42" s="28" t="s">
        <v>55</v>
      </c>
      <c r="C42" s="174"/>
      <c r="D42" s="125"/>
      <c r="E42" s="43"/>
      <c r="F42" s="170">
        <f t="shared" si="70"/>
        <v>0</v>
      </c>
      <c r="G42" s="83"/>
      <c r="H42" s="120"/>
      <c r="I42" s="18"/>
      <c r="J42" s="19">
        <f t="shared" si="71"/>
        <v>0</v>
      </c>
      <c r="K42" s="17"/>
      <c r="L42" s="120"/>
      <c r="M42" s="43"/>
      <c r="N42" s="19">
        <f t="shared" si="72"/>
        <v>0</v>
      </c>
      <c r="O42" s="25">
        <f t="shared" si="87"/>
        <v>0</v>
      </c>
      <c r="P42" s="95">
        <f t="shared" si="79"/>
        <v>0</v>
      </c>
      <c r="Q42" s="95">
        <f t="shared" si="79"/>
        <v>0</v>
      </c>
      <c r="R42" s="19">
        <f t="shared" si="80"/>
        <v>0</v>
      </c>
      <c r="S42" s="17"/>
      <c r="T42" s="120"/>
      <c r="U42" s="18"/>
      <c r="V42" s="19">
        <f t="shared" si="75"/>
        <v>0</v>
      </c>
      <c r="W42" s="17"/>
      <c r="X42" s="120"/>
      <c r="Y42" s="19"/>
      <c r="Z42" s="18">
        <f t="shared" si="35"/>
        <v>0</v>
      </c>
      <c r="AA42" s="83"/>
      <c r="AB42" s="120"/>
      <c r="AC42" s="43"/>
      <c r="AD42" s="19">
        <f t="shared" si="29"/>
        <v>0</v>
      </c>
      <c r="AE42" s="17">
        <f t="shared" si="93"/>
        <v>0</v>
      </c>
      <c r="AF42" s="18">
        <f t="shared" si="93"/>
        <v>0</v>
      </c>
      <c r="AG42" s="18">
        <f t="shared" si="93"/>
        <v>0</v>
      </c>
      <c r="AH42" s="19">
        <f t="shared" si="36"/>
        <v>0</v>
      </c>
      <c r="AI42" s="17">
        <f t="shared" si="94"/>
        <v>0</v>
      </c>
      <c r="AJ42" s="18">
        <f t="shared" si="94"/>
        <v>0</v>
      </c>
      <c r="AK42" s="18">
        <f t="shared" si="94"/>
        <v>0</v>
      </c>
      <c r="AL42" s="19">
        <f t="shared" si="90"/>
        <v>0</v>
      </c>
      <c r="AM42" s="17"/>
      <c r="AN42" s="120"/>
      <c r="AO42" s="43"/>
      <c r="AP42" s="20">
        <f t="shared" si="66"/>
        <v>0</v>
      </c>
      <c r="AQ42" s="17"/>
      <c r="AR42" s="120"/>
      <c r="AS42" s="43"/>
      <c r="AT42" s="20">
        <f t="shared" si="67"/>
        <v>0</v>
      </c>
      <c r="AU42" s="17"/>
      <c r="AV42" s="120"/>
      <c r="AW42" s="43"/>
      <c r="AX42" s="20">
        <f t="shared" si="88"/>
        <v>0</v>
      </c>
      <c r="AY42" s="17">
        <f t="shared" si="95"/>
        <v>0</v>
      </c>
      <c r="AZ42" s="18">
        <f t="shared" si="95"/>
        <v>0</v>
      </c>
      <c r="BA42" s="18">
        <f t="shared" si="95"/>
        <v>0</v>
      </c>
      <c r="BB42" s="19">
        <f t="shared" si="91"/>
        <v>0</v>
      </c>
      <c r="BC42" s="190">
        <f t="shared" si="83"/>
        <v>0</v>
      </c>
      <c r="BD42" s="84">
        <f t="shared" si="83"/>
        <v>0</v>
      </c>
      <c r="BE42" s="84">
        <f t="shared" si="98"/>
        <v>0</v>
      </c>
      <c r="BF42" s="170">
        <f t="shared" si="42"/>
        <v>0</v>
      </c>
      <c r="BG42" s="83"/>
      <c r="BH42" s="122"/>
      <c r="BI42" s="18"/>
      <c r="BJ42" s="41">
        <f t="shared" si="30"/>
        <v>0</v>
      </c>
      <c r="BK42" s="17"/>
      <c r="BL42" s="120"/>
      <c r="BM42" s="18"/>
      <c r="BN42" s="41">
        <f t="shared" si="43"/>
        <v>0</v>
      </c>
      <c r="BO42" s="17"/>
      <c r="BP42" s="120"/>
      <c r="BQ42" s="18"/>
      <c r="BR42" s="27">
        <f t="shared" si="44"/>
        <v>0</v>
      </c>
      <c r="BS42" s="17">
        <f t="shared" si="58"/>
        <v>0</v>
      </c>
      <c r="BT42" s="18">
        <f t="shared" si="58"/>
        <v>0</v>
      </c>
      <c r="BU42" s="18">
        <f t="shared" si="58"/>
        <v>0</v>
      </c>
      <c r="BV42" s="20">
        <f t="shared" si="45"/>
        <v>0</v>
      </c>
      <c r="BW42" s="17">
        <f t="shared" si="84"/>
        <v>0</v>
      </c>
      <c r="BX42" s="18">
        <f t="shared" si="84"/>
        <v>0</v>
      </c>
      <c r="BY42" s="18">
        <f t="shared" si="84"/>
        <v>0</v>
      </c>
      <c r="BZ42" s="20">
        <f t="shared" si="46"/>
        <v>0</v>
      </c>
      <c r="CA42" s="17">
        <f t="shared" si="96"/>
        <v>0</v>
      </c>
      <c r="CB42" s="18">
        <f t="shared" si="96"/>
        <v>0</v>
      </c>
      <c r="CC42" s="18">
        <f t="shared" si="96"/>
        <v>0</v>
      </c>
      <c r="CD42" s="20">
        <f t="shared" si="92"/>
        <v>0</v>
      </c>
      <c r="CH42" s="3"/>
      <c r="CJ42" s="91">
        <f>BG42+BK42+BO42</f>
        <v>0</v>
      </c>
      <c r="CK42" s="91"/>
      <c r="CL42" s="91"/>
      <c r="CM42" s="91"/>
      <c r="CN42" s="91">
        <f t="shared" si="78"/>
        <v>0</v>
      </c>
      <c r="CO42" s="91">
        <f t="shared" si="78"/>
        <v>0</v>
      </c>
      <c r="CP42" s="91">
        <f t="shared" si="78"/>
        <v>0</v>
      </c>
      <c r="CQ42" s="91">
        <f t="shared" si="78"/>
        <v>0</v>
      </c>
    </row>
    <row r="43" spans="1:95" ht="16.5" hidden="1" x14ac:dyDescent="0.3">
      <c r="A43" s="9"/>
      <c r="B43" s="28" t="s">
        <v>56</v>
      </c>
      <c r="C43" s="174"/>
      <c r="D43" s="120"/>
      <c r="E43" s="43"/>
      <c r="F43" s="170">
        <f t="shared" si="70"/>
        <v>0</v>
      </c>
      <c r="G43" s="83"/>
      <c r="H43" s="120"/>
      <c r="I43" s="18"/>
      <c r="J43" s="19">
        <f t="shared" si="71"/>
        <v>0</v>
      </c>
      <c r="K43" s="17"/>
      <c r="L43" s="120"/>
      <c r="M43" s="43"/>
      <c r="N43" s="19">
        <f t="shared" si="72"/>
        <v>0</v>
      </c>
      <c r="O43" s="25">
        <f t="shared" si="87"/>
        <v>0</v>
      </c>
      <c r="P43" s="95">
        <f t="shared" si="79"/>
        <v>0</v>
      </c>
      <c r="Q43" s="95">
        <f t="shared" si="79"/>
        <v>0</v>
      </c>
      <c r="R43" s="19">
        <f t="shared" si="80"/>
        <v>0</v>
      </c>
      <c r="S43" s="17"/>
      <c r="T43" s="120"/>
      <c r="U43" s="18"/>
      <c r="V43" s="19">
        <f t="shared" si="75"/>
        <v>0</v>
      </c>
      <c r="W43" s="17"/>
      <c r="X43" s="120"/>
      <c r="Y43" s="19"/>
      <c r="Z43" s="18">
        <f t="shared" si="35"/>
        <v>0</v>
      </c>
      <c r="AA43" s="83"/>
      <c r="AB43" s="120"/>
      <c r="AC43" s="43"/>
      <c r="AD43" s="19">
        <f t="shared" si="29"/>
        <v>0</v>
      </c>
      <c r="AE43" s="17">
        <f t="shared" si="93"/>
        <v>0</v>
      </c>
      <c r="AF43" s="18">
        <f t="shared" si="93"/>
        <v>0</v>
      </c>
      <c r="AG43" s="18">
        <f t="shared" si="93"/>
        <v>0</v>
      </c>
      <c r="AH43" s="19">
        <f t="shared" si="36"/>
        <v>0</v>
      </c>
      <c r="AI43" s="17">
        <f t="shared" si="94"/>
        <v>0</v>
      </c>
      <c r="AJ43" s="18">
        <v>0</v>
      </c>
      <c r="AK43" s="18">
        <v>0</v>
      </c>
      <c r="AL43" s="19">
        <f t="shared" si="90"/>
        <v>0</v>
      </c>
      <c r="AM43" s="17"/>
      <c r="AN43" s="120"/>
      <c r="AO43" s="43"/>
      <c r="AP43" s="20">
        <f t="shared" si="66"/>
        <v>0</v>
      </c>
      <c r="AQ43" s="17"/>
      <c r="AR43" s="120"/>
      <c r="AS43" s="43"/>
      <c r="AT43" s="20">
        <f t="shared" si="67"/>
        <v>0</v>
      </c>
      <c r="AU43" s="17"/>
      <c r="AV43" s="120"/>
      <c r="AW43" s="43"/>
      <c r="AX43" s="20">
        <f t="shared" si="88"/>
        <v>0</v>
      </c>
      <c r="AY43" s="17">
        <f t="shared" si="95"/>
        <v>0</v>
      </c>
      <c r="AZ43" s="18">
        <f t="shared" si="95"/>
        <v>0</v>
      </c>
      <c r="BA43" s="18">
        <f t="shared" si="95"/>
        <v>0</v>
      </c>
      <c r="BB43" s="19">
        <f t="shared" si="91"/>
        <v>0</v>
      </c>
      <c r="BC43" s="190">
        <f t="shared" si="83"/>
        <v>0</v>
      </c>
      <c r="BD43" s="84">
        <f t="shared" si="83"/>
        <v>0</v>
      </c>
      <c r="BE43" s="84">
        <f t="shared" si="98"/>
        <v>0</v>
      </c>
      <c r="BF43" s="170">
        <f t="shared" si="42"/>
        <v>0</v>
      </c>
      <c r="BG43" s="83"/>
      <c r="BH43" s="122"/>
      <c r="BI43" s="18"/>
      <c r="BJ43" s="41">
        <f t="shared" si="30"/>
        <v>0</v>
      </c>
      <c r="BK43" s="17"/>
      <c r="BL43" s="120"/>
      <c r="BM43" s="18"/>
      <c r="BN43" s="41">
        <f t="shared" si="43"/>
        <v>0</v>
      </c>
      <c r="BO43" s="17"/>
      <c r="BP43" s="120"/>
      <c r="BQ43" s="18"/>
      <c r="BR43" s="27">
        <f t="shared" si="44"/>
        <v>0</v>
      </c>
      <c r="BS43" s="17">
        <f t="shared" ref="BS43:BU50" si="99">BG43+BK43+BO43</f>
        <v>0</v>
      </c>
      <c r="BT43" s="18">
        <f t="shared" si="99"/>
        <v>0</v>
      </c>
      <c r="BU43" s="18">
        <f t="shared" si="99"/>
        <v>0</v>
      </c>
      <c r="BV43" s="20">
        <f t="shared" si="45"/>
        <v>0</v>
      </c>
      <c r="BW43" s="17">
        <f t="shared" si="84"/>
        <v>0</v>
      </c>
      <c r="BX43" s="18">
        <f t="shared" si="84"/>
        <v>0</v>
      </c>
      <c r="BY43" s="18">
        <f t="shared" si="84"/>
        <v>0</v>
      </c>
      <c r="BZ43" s="20">
        <f t="shared" si="46"/>
        <v>0</v>
      </c>
      <c r="CA43" s="17">
        <f t="shared" si="96"/>
        <v>0</v>
      </c>
      <c r="CB43" s="18">
        <f t="shared" si="96"/>
        <v>0</v>
      </c>
      <c r="CC43" s="18">
        <f t="shared" si="96"/>
        <v>0</v>
      </c>
      <c r="CD43" s="20">
        <f t="shared" si="92"/>
        <v>0</v>
      </c>
      <c r="CH43" s="3"/>
      <c r="CJ43" s="91">
        <f>BG43+BK43+BO43</f>
        <v>0</v>
      </c>
      <c r="CK43" s="91"/>
      <c r="CL43" s="91"/>
      <c r="CM43" s="91"/>
      <c r="CN43" s="91">
        <f t="shared" si="78"/>
        <v>0</v>
      </c>
      <c r="CO43" s="91">
        <f t="shared" si="78"/>
        <v>0</v>
      </c>
      <c r="CP43" s="91">
        <f t="shared" si="78"/>
        <v>0</v>
      </c>
      <c r="CQ43" s="91">
        <f t="shared" si="78"/>
        <v>0</v>
      </c>
    </row>
    <row r="44" spans="1:95" ht="25.5" x14ac:dyDescent="0.3">
      <c r="A44" s="9">
        <v>7.3</v>
      </c>
      <c r="B44" s="39" t="s">
        <v>57</v>
      </c>
      <c r="C44" s="174"/>
      <c r="D44" s="120"/>
      <c r="E44" s="95"/>
      <c r="F44" s="170">
        <f t="shared" si="70"/>
        <v>0</v>
      </c>
      <c r="G44" s="83"/>
      <c r="H44" s="120"/>
      <c r="I44" s="31"/>
      <c r="J44" s="19">
        <f t="shared" si="71"/>
        <v>0</v>
      </c>
      <c r="K44" s="17"/>
      <c r="L44" s="120"/>
      <c r="M44" s="95"/>
      <c r="N44" s="19">
        <f t="shared" si="72"/>
        <v>0</v>
      </c>
      <c r="O44" s="17">
        <f t="shared" si="87"/>
        <v>0</v>
      </c>
      <c r="P44" s="43">
        <f t="shared" si="79"/>
        <v>0</v>
      </c>
      <c r="Q44" s="43">
        <f t="shared" si="79"/>
        <v>0</v>
      </c>
      <c r="R44" s="19">
        <f t="shared" si="80"/>
        <v>0</v>
      </c>
      <c r="S44" s="17"/>
      <c r="T44" s="18"/>
      <c r="U44" s="18"/>
      <c r="V44" s="19">
        <f t="shared" si="75"/>
        <v>0</v>
      </c>
      <c r="W44" s="17"/>
      <c r="X44" s="120"/>
      <c r="Y44" s="30"/>
      <c r="Z44" s="18">
        <f t="shared" si="35"/>
        <v>0</v>
      </c>
      <c r="AA44" s="83"/>
      <c r="AB44" s="18"/>
      <c r="AC44" s="43"/>
      <c r="AD44" s="19">
        <f t="shared" si="29"/>
        <v>0</v>
      </c>
      <c r="AE44" s="17">
        <f t="shared" si="93"/>
        <v>0</v>
      </c>
      <c r="AF44" s="18">
        <f t="shared" si="93"/>
        <v>0</v>
      </c>
      <c r="AG44" s="18">
        <f t="shared" si="93"/>
        <v>0</v>
      </c>
      <c r="AH44" s="19">
        <f t="shared" si="36"/>
        <v>0</v>
      </c>
      <c r="AI44" s="17">
        <f t="shared" si="94"/>
        <v>0</v>
      </c>
      <c r="AJ44" s="18">
        <f t="shared" si="94"/>
        <v>0</v>
      </c>
      <c r="AK44" s="18">
        <f t="shared" si="94"/>
        <v>0</v>
      </c>
      <c r="AL44" s="19">
        <f t="shared" si="90"/>
        <v>0</v>
      </c>
      <c r="AM44" s="17"/>
      <c r="AN44" s="120"/>
      <c r="AO44" s="43"/>
      <c r="AP44" s="20">
        <f t="shared" si="66"/>
        <v>0</v>
      </c>
      <c r="AR44" s="18"/>
      <c r="AS44" s="43"/>
      <c r="AT44" s="20">
        <f>AR44-AQ45</f>
        <v>-261000</v>
      </c>
      <c r="AV44" s="120"/>
      <c r="AW44" s="43"/>
      <c r="AX44" s="20">
        <f>AV44-AU45</f>
        <v>-165000</v>
      </c>
      <c r="AY44" s="17">
        <f t="shared" si="95"/>
        <v>0</v>
      </c>
      <c r="AZ44" s="18">
        <f t="shared" si="95"/>
        <v>0</v>
      </c>
      <c r="BA44" s="18">
        <f t="shared" si="95"/>
        <v>0</v>
      </c>
      <c r="BB44" s="19">
        <f t="shared" si="91"/>
        <v>0</v>
      </c>
      <c r="BC44" s="190">
        <f t="shared" si="83"/>
        <v>0</v>
      </c>
      <c r="BD44" s="84">
        <f t="shared" si="83"/>
        <v>0</v>
      </c>
      <c r="BE44" s="84">
        <f t="shared" si="98"/>
        <v>0</v>
      </c>
      <c r="BF44" s="170">
        <f t="shared" si="42"/>
        <v>0</v>
      </c>
      <c r="BG44" s="83"/>
      <c r="BH44" s="122"/>
      <c r="BI44" s="18"/>
      <c r="BJ44" s="41">
        <f t="shared" si="30"/>
        <v>0</v>
      </c>
      <c r="BK44" s="17"/>
      <c r="BL44" s="120"/>
      <c r="BM44" s="18"/>
      <c r="BN44" s="41">
        <f t="shared" si="43"/>
        <v>0</v>
      </c>
      <c r="BO44" s="17"/>
      <c r="BP44" s="120"/>
      <c r="BQ44" s="31"/>
      <c r="BR44" s="41">
        <f t="shared" si="44"/>
        <v>0</v>
      </c>
      <c r="BS44" s="17">
        <f t="shared" si="99"/>
        <v>0</v>
      </c>
      <c r="BT44" s="18">
        <f t="shared" si="99"/>
        <v>0</v>
      </c>
      <c r="BU44" s="18">
        <f t="shared" si="99"/>
        <v>0</v>
      </c>
      <c r="BV44" s="20">
        <f t="shared" si="45"/>
        <v>0</v>
      </c>
      <c r="BW44" s="17">
        <f t="shared" si="84"/>
        <v>0</v>
      </c>
      <c r="BX44" s="18">
        <f t="shared" si="84"/>
        <v>0</v>
      </c>
      <c r="BY44" s="18">
        <f t="shared" si="84"/>
        <v>0</v>
      </c>
      <c r="BZ44" s="20">
        <f t="shared" si="46"/>
        <v>0</v>
      </c>
      <c r="CA44" s="17">
        <f t="shared" si="96"/>
        <v>0</v>
      </c>
      <c r="CB44" s="18">
        <f t="shared" si="96"/>
        <v>0</v>
      </c>
      <c r="CC44" s="18">
        <f t="shared" si="96"/>
        <v>0</v>
      </c>
      <c r="CD44" s="20">
        <f t="shared" si="92"/>
        <v>0</v>
      </c>
      <c r="CH44" s="3"/>
      <c r="CJ44" s="91">
        <f>BG44+BK44+BO44</f>
        <v>0</v>
      </c>
      <c r="CK44" s="91">
        <f t="shared" ref="CK44:CM45" si="100">BH44+BL44+BP44</f>
        <v>0</v>
      </c>
      <c r="CL44" s="91">
        <f t="shared" si="100"/>
        <v>0</v>
      </c>
      <c r="CM44" s="91">
        <f t="shared" si="100"/>
        <v>0</v>
      </c>
      <c r="CN44" s="91">
        <f t="shared" si="78"/>
        <v>0</v>
      </c>
      <c r="CO44" s="91">
        <f t="shared" si="78"/>
        <v>0</v>
      </c>
      <c r="CP44" s="91">
        <f t="shared" si="78"/>
        <v>0</v>
      </c>
      <c r="CQ44" s="91">
        <f t="shared" si="78"/>
        <v>0</v>
      </c>
    </row>
    <row r="45" spans="1:95" ht="25.15" customHeight="1" x14ac:dyDescent="0.3">
      <c r="A45" s="9">
        <v>7.4</v>
      </c>
      <c r="B45" s="123" t="s">
        <v>58</v>
      </c>
      <c r="C45" s="174">
        <v>225000</v>
      </c>
      <c r="D45" s="126"/>
      <c r="E45" s="95"/>
      <c r="F45" s="170">
        <f t="shared" si="70"/>
        <v>-225000</v>
      </c>
      <c r="G45" s="83">
        <v>235000</v>
      </c>
      <c r="H45" s="120">
        <f>75659+68044</f>
        <v>143703</v>
      </c>
      <c r="I45" s="43">
        <f>68044+25659</f>
        <v>93703</v>
      </c>
      <c r="J45" s="19">
        <f t="shared" si="71"/>
        <v>-91297</v>
      </c>
      <c r="K45" s="17">
        <v>215000</v>
      </c>
      <c r="L45" s="18">
        <f>43975+43975+43975+43975</f>
        <v>175900</v>
      </c>
      <c r="M45" s="43">
        <f>87950+55000+136088</f>
        <v>279038</v>
      </c>
      <c r="N45" s="19">
        <f t="shared" si="72"/>
        <v>-39100</v>
      </c>
      <c r="O45" s="17">
        <f t="shared" si="87"/>
        <v>675000</v>
      </c>
      <c r="P45" s="43">
        <f t="shared" si="79"/>
        <v>319603</v>
      </c>
      <c r="Q45" s="43">
        <f t="shared" si="79"/>
        <v>372741</v>
      </c>
      <c r="R45" s="19">
        <f t="shared" si="80"/>
        <v>-355397</v>
      </c>
      <c r="S45" s="17">
        <v>145000</v>
      </c>
      <c r="T45" s="18"/>
      <c r="U45" s="18"/>
      <c r="V45" s="19">
        <f t="shared" si="75"/>
        <v>-145000</v>
      </c>
      <c r="W45" s="17">
        <v>455000</v>
      </c>
      <c r="X45" s="31"/>
      <c r="Y45" s="30">
        <v>35000</v>
      </c>
      <c r="Z45" s="31">
        <f t="shared" si="35"/>
        <v>-455000</v>
      </c>
      <c r="AA45" s="83">
        <v>225000</v>
      </c>
      <c r="AB45" s="120">
        <v>151318</v>
      </c>
      <c r="AC45" s="43"/>
      <c r="AD45" s="19">
        <f t="shared" si="29"/>
        <v>-73682</v>
      </c>
      <c r="AE45" s="17">
        <f t="shared" si="93"/>
        <v>825000</v>
      </c>
      <c r="AF45" s="18">
        <f t="shared" si="93"/>
        <v>151318</v>
      </c>
      <c r="AG45" s="18">
        <f t="shared" si="93"/>
        <v>35000</v>
      </c>
      <c r="AH45" s="19">
        <f t="shared" si="36"/>
        <v>-673682</v>
      </c>
      <c r="AI45" s="17">
        <f t="shared" si="94"/>
        <v>1500000</v>
      </c>
      <c r="AJ45" s="18">
        <f t="shared" si="94"/>
        <v>470921</v>
      </c>
      <c r="AK45" s="18">
        <f t="shared" si="94"/>
        <v>407741</v>
      </c>
      <c r="AL45" s="19">
        <f t="shared" si="90"/>
        <v>-1029079</v>
      </c>
      <c r="AM45" s="17">
        <v>80000</v>
      </c>
      <c r="AN45" s="18"/>
      <c r="AO45" s="43">
        <f>50000+50000+106532</f>
        <v>206532</v>
      </c>
      <c r="AP45" s="20">
        <f t="shared" si="66"/>
        <v>-80000</v>
      </c>
      <c r="AQ45" s="17">
        <v>261000</v>
      </c>
      <c r="AR45" s="18">
        <f>43975+172064+75659-71105</f>
        <v>220593</v>
      </c>
      <c r="AS45" s="43">
        <v>122064</v>
      </c>
      <c r="AT45" s="20">
        <f>AR45-AQ46</f>
        <v>220593</v>
      </c>
      <c r="AU45" s="17">
        <v>165000</v>
      </c>
      <c r="AV45" s="120">
        <f>68044+12918+68044+43975</f>
        <v>192981</v>
      </c>
      <c r="AW45" s="43">
        <f>12918+40000</f>
        <v>52918</v>
      </c>
      <c r="AX45" s="20">
        <f>AV45-AU46</f>
        <v>192981</v>
      </c>
      <c r="AY45" s="17">
        <f t="shared" si="95"/>
        <v>506000</v>
      </c>
      <c r="AZ45" s="18">
        <f t="shared" si="95"/>
        <v>413574</v>
      </c>
      <c r="BA45" s="18">
        <f t="shared" si="95"/>
        <v>381514</v>
      </c>
      <c r="BB45" s="19">
        <f t="shared" si="91"/>
        <v>-92426</v>
      </c>
      <c r="BC45" s="190">
        <f t="shared" si="83"/>
        <v>2006000</v>
      </c>
      <c r="BD45" s="84">
        <f t="shared" si="83"/>
        <v>884495</v>
      </c>
      <c r="BE45" s="84">
        <f t="shared" si="98"/>
        <v>789255</v>
      </c>
      <c r="BF45" s="170">
        <f t="shared" si="42"/>
        <v>-1121505</v>
      </c>
      <c r="BG45" s="83">
        <v>195000</v>
      </c>
      <c r="BH45" s="122"/>
      <c r="BI45" s="18"/>
      <c r="BJ45" s="41">
        <f t="shared" si="30"/>
        <v>-195000</v>
      </c>
      <c r="BK45" s="17">
        <v>349000</v>
      </c>
      <c r="BL45" s="120"/>
      <c r="BM45" s="18">
        <v>160000</v>
      </c>
      <c r="BN45" s="41">
        <f t="shared" si="43"/>
        <v>-349000</v>
      </c>
      <c r="BO45" s="17">
        <v>150000</v>
      </c>
      <c r="BP45" s="120">
        <f>43975+43975</f>
        <v>87950</v>
      </c>
      <c r="BQ45" s="18">
        <v>23190</v>
      </c>
      <c r="BR45" s="27">
        <f t="shared" si="44"/>
        <v>-62050</v>
      </c>
      <c r="BS45" s="17">
        <f t="shared" si="99"/>
        <v>694000</v>
      </c>
      <c r="BT45" s="18">
        <f t="shared" si="99"/>
        <v>87950</v>
      </c>
      <c r="BU45" s="18">
        <f t="shared" si="99"/>
        <v>183190</v>
      </c>
      <c r="BV45" s="20">
        <f t="shared" si="45"/>
        <v>-606050</v>
      </c>
      <c r="BW45" s="17">
        <f t="shared" si="84"/>
        <v>1200000</v>
      </c>
      <c r="BX45" s="18">
        <f t="shared" si="84"/>
        <v>501524</v>
      </c>
      <c r="BY45" s="18">
        <f t="shared" si="84"/>
        <v>564704</v>
      </c>
      <c r="BZ45" s="20">
        <f t="shared" si="46"/>
        <v>-698476</v>
      </c>
      <c r="CA45" s="17">
        <f t="shared" si="96"/>
        <v>2700000</v>
      </c>
      <c r="CB45" s="18">
        <f t="shared" si="96"/>
        <v>972445</v>
      </c>
      <c r="CC45" s="18">
        <f t="shared" si="96"/>
        <v>972445</v>
      </c>
      <c r="CD45" s="20">
        <f t="shared" si="92"/>
        <v>-1727555</v>
      </c>
      <c r="CH45" s="3"/>
      <c r="CJ45" s="91">
        <f>BG45+BK45+BO45</f>
        <v>694000</v>
      </c>
      <c r="CK45" s="91">
        <f t="shared" si="100"/>
        <v>87950</v>
      </c>
      <c r="CL45" s="91">
        <f t="shared" si="100"/>
        <v>183190</v>
      </c>
      <c r="CM45" s="91">
        <f t="shared" si="100"/>
        <v>-606050</v>
      </c>
      <c r="CN45" s="91">
        <f t="shared" si="78"/>
        <v>2700000</v>
      </c>
      <c r="CO45" s="91">
        <f t="shared" si="78"/>
        <v>972445</v>
      </c>
      <c r="CP45" s="91">
        <f t="shared" si="78"/>
        <v>972445</v>
      </c>
      <c r="CQ45" s="91">
        <f t="shared" si="78"/>
        <v>-1727555</v>
      </c>
    </row>
    <row r="46" spans="1:95" ht="16.5" hidden="1" customHeight="1" x14ac:dyDescent="0.3">
      <c r="A46" s="9"/>
      <c r="B46" s="28" t="s">
        <v>55</v>
      </c>
      <c r="C46" s="168"/>
      <c r="D46" s="125"/>
      <c r="E46" s="95"/>
      <c r="F46" s="170">
        <f t="shared" si="70"/>
        <v>0</v>
      </c>
      <c r="G46" s="83"/>
      <c r="H46" s="120"/>
      <c r="I46" s="31"/>
      <c r="J46" s="19">
        <f t="shared" si="71"/>
        <v>0</v>
      </c>
      <c r="K46" s="17"/>
      <c r="L46" s="120"/>
      <c r="M46" s="31"/>
      <c r="N46" s="19">
        <f t="shared" si="72"/>
        <v>0</v>
      </c>
      <c r="O46" s="25">
        <f t="shared" si="87"/>
        <v>0</v>
      </c>
      <c r="P46" s="95">
        <f t="shared" si="79"/>
        <v>0</v>
      </c>
      <c r="Q46" s="95">
        <f t="shared" si="79"/>
        <v>0</v>
      </c>
      <c r="R46" s="19">
        <f t="shared" si="80"/>
        <v>0</v>
      </c>
      <c r="S46" s="17"/>
      <c r="T46" s="120"/>
      <c r="U46" s="31"/>
      <c r="V46" s="19">
        <f t="shared" si="75"/>
        <v>0</v>
      </c>
      <c r="W46" s="17"/>
      <c r="X46" s="120"/>
      <c r="Y46" s="30"/>
      <c r="Z46" s="18">
        <f t="shared" si="35"/>
        <v>0</v>
      </c>
      <c r="AA46" s="83"/>
      <c r="AB46" s="120"/>
      <c r="AC46" s="95"/>
      <c r="AD46" s="19">
        <f t="shared" si="29"/>
        <v>0</v>
      </c>
      <c r="AE46" s="17">
        <f t="shared" si="93"/>
        <v>0</v>
      </c>
      <c r="AF46" s="18">
        <f t="shared" si="93"/>
        <v>0</v>
      </c>
      <c r="AG46" s="18">
        <f t="shared" si="93"/>
        <v>0</v>
      </c>
      <c r="AH46" s="19">
        <f t="shared" si="36"/>
        <v>0</v>
      </c>
      <c r="AI46" s="17">
        <f t="shared" si="94"/>
        <v>0</v>
      </c>
      <c r="AJ46" s="18">
        <f t="shared" si="94"/>
        <v>0</v>
      </c>
      <c r="AK46" s="18">
        <f t="shared" si="94"/>
        <v>0</v>
      </c>
      <c r="AL46" s="19">
        <f t="shared" si="90"/>
        <v>0</v>
      </c>
      <c r="AM46" s="17"/>
      <c r="AN46" s="120"/>
      <c r="AO46" s="95"/>
      <c r="AP46" s="20">
        <f t="shared" si="66"/>
        <v>0</v>
      </c>
      <c r="AQ46" s="17"/>
      <c r="AR46" s="120"/>
      <c r="AS46" s="95"/>
      <c r="AT46" s="20">
        <f t="shared" si="67"/>
        <v>0</v>
      </c>
      <c r="AU46" s="17"/>
      <c r="AV46" s="120"/>
      <c r="AW46" s="95"/>
      <c r="AX46" s="20">
        <f t="shared" si="88"/>
        <v>0</v>
      </c>
      <c r="AY46" s="17">
        <f t="shared" si="95"/>
        <v>0</v>
      </c>
      <c r="AZ46" s="18">
        <f t="shared" si="95"/>
        <v>0</v>
      </c>
      <c r="BA46" s="18">
        <f t="shared" si="95"/>
        <v>0</v>
      </c>
      <c r="BB46" s="19">
        <f t="shared" si="91"/>
        <v>0</v>
      </c>
      <c r="BC46" s="190">
        <f t="shared" si="83"/>
        <v>0</v>
      </c>
      <c r="BD46" s="84">
        <f t="shared" si="83"/>
        <v>0</v>
      </c>
      <c r="BE46" s="84">
        <f t="shared" si="98"/>
        <v>0</v>
      </c>
      <c r="BF46" s="170">
        <f t="shared" si="42"/>
        <v>0</v>
      </c>
      <c r="BG46" s="83"/>
      <c r="BH46" s="120"/>
      <c r="BI46" s="31"/>
      <c r="BJ46" s="41">
        <f t="shared" si="30"/>
        <v>0</v>
      </c>
      <c r="BK46" s="17"/>
      <c r="BL46" s="120"/>
      <c r="BM46" s="31"/>
      <c r="BN46" s="41">
        <f t="shared" si="43"/>
        <v>0</v>
      </c>
      <c r="BO46" s="17"/>
      <c r="BP46" s="120"/>
      <c r="BQ46" s="31"/>
      <c r="BR46" s="41">
        <f t="shared" si="44"/>
        <v>0</v>
      </c>
      <c r="BS46" s="17">
        <f t="shared" si="99"/>
        <v>0</v>
      </c>
      <c r="BT46" s="18">
        <f t="shared" si="99"/>
        <v>0</v>
      </c>
      <c r="BU46" s="18">
        <f t="shared" si="99"/>
        <v>0</v>
      </c>
      <c r="BV46" s="20">
        <f t="shared" si="45"/>
        <v>0</v>
      </c>
      <c r="BW46" s="17">
        <f t="shared" si="84"/>
        <v>0</v>
      </c>
      <c r="BX46" s="18">
        <f t="shared" si="84"/>
        <v>0</v>
      </c>
      <c r="BY46" s="18">
        <f t="shared" si="84"/>
        <v>0</v>
      </c>
      <c r="BZ46" s="20">
        <f t="shared" si="46"/>
        <v>0</v>
      </c>
      <c r="CA46" s="17">
        <f t="shared" si="96"/>
        <v>0</v>
      </c>
      <c r="CB46" s="18">
        <f t="shared" si="96"/>
        <v>0</v>
      </c>
      <c r="CC46" s="18">
        <f t="shared" si="96"/>
        <v>0</v>
      </c>
      <c r="CD46" s="20">
        <f t="shared" si="92"/>
        <v>0</v>
      </c>
      <c r="CH46" s="3"/>
      <c r="CJ46" s="91"/>
      <c r="CK46" s="91"/>
      <c r="CL46" s="91"/>
      <c r="CM46" s="91"/>
      <c r="CN46" s="91">
        <f t="shared" si="78"/>
        <v>0</v>
      </c>
      <c r="CO46" s="91">
        <f t="shared" si="78"/>
        <v>0</v>
      </c>
      <c r="CP46" s="91">
        <f t="shared" si="78"/>
        <v>0</v>
      </c>
      <c r="CQ46" s="91">
        <f t="shared" si="78"/>
        <v>0</v>
      </c>
    </row>
    <row r="47" spans="1:95" ht="16.5" hidden="1" customHeight="1" x14ac:dyDescent="0.3">
      <c r="A47" s="9"/>
      <c r="B47" s="28" t="s">
        <v>56</v>
      </c>
      <c r="C47" s="168"/>
      <c r="D47" s="125"/>
      <c r="E47" s="95"/>
      <c r="F47" s="170">
        <f t="shared" si="70"/>
        <v>0</v>
      </c>
      <c r="G47" s="83"/>
      <c r="H47" s="120"/>
      <c r="I47" s="31"/>
      <c r="J47" s="19">
        <f t="shared" si="71"/>
        <v>0</v>
      </c>
      <c r="K47" s="17"/>
      <c r="L47" s="120"/>
      <c r="M47" s="31"/>
      <c r="N47" s="19">
        <f t="shared" si="72"/>
        <v>0</v>
      </c>
      <c r="O47" s="25">
        <f t="shared" si="87"/>
        <v>0</v>
      </c>
      <c r="P47" s="95">
        <f t="shared" si="79"/>
        <v>0</v>
      </c>
      <c r="Q47" s="95">
        <f t="shared" si="79"/>
        <v>0</v>
      </c>
      <c r="R47" s="19">
        <f t="shared" si="80"/>
        <v>0</v>
      </c>
      <c r="S47" s="17"/>
      <c r="T47" s="120"/>
      <c r="U47" s="31"/>
      <c r="V47" s="19">
        <f t="shared" si="75"/>
        <v>0</v>
      </c>
      <c r="W47" s="17"/>
      <c r="X47" s="120"/>
      <c r="Y47" s="19"/>
      <c r="Z47" s="18">
        <f t="shared" si="35"/>
        <v>0</v>
      </c>
      <c r="AA47" s="83"/>
      <c r="AB47" s="120"/>
      <c r="AC47" s="95"/>
      <c r="AD47" s="19">
        <f t="shared" si="29"/>
        <v>0</v>
      </c>
      <c r="AE47" s="17">
        <f t="shared" si="93"/>
        <v>0</v>
      </c>
      <c r="AF47" s="18">
        <f t="shared" si="93"/>
        <v>0</v>
      </c>
      <c r="AG47" s="18">
        <f t="shared" si="93"/>
        <v>0</v>
      </c>
      <c r="AH47" s="19">
        <f t="shared" si="36"/>
        <v>0</v>
      </c>
      <c r="AI47" s="17">
        <f t="shared" si="94"/>
        <v>0</v>
      </c>
      <c r="AJ47" s="18">
        <f t="shared" si="94"/>
        <v>0</v>
      </c>
      <c r="AK47" s="18">
        <f t="shared" si="94"/>
        <v>0</v>
      </c>
      <c r="AL47" s="19">
        <f t="shared" si="90"/>
        <v>0</v>
      </c>
      <c r="AM47" s="17"/>
      <c r="AN47" s="120"/>
      <c r="AO47" s="95"/>
      <c r="AP47" s="20">
        <f t="shared" si="66"/>
        <v>0</v>
      </c>
      <c r="AQ47" s="17"/>
      <c r="AR47" s="120"/>
      <c r="AS47" s="95"/>
      <c r="AT47" s="20">
        <f t="shared" si="67"/>
        <v>0</v>
      </c>
      <c r="AU47" s="17"/>
      <c r="AV47" s="120"/>
      <c r="AW47" s="95"/>
      <c r="AX47" s="20">
        <f t="shared" si="88"/>
        <v>0</v>
      </c>
      <c r="AY47" s="17">
        <f t="shared" si="95"/>
        <v>0</v>
      </c>
      <c r="AZ47" s="18">
        <f t="shared" si="95"/>
        <v>0</v>
      </c>
      <c r="BA47" s="18">
        <f t="shared" si="95"/>
        <v>0</v>
      </c>
      <c r="BB47" s="19">
        <f t="shared" si="91"/>
        <v>0</v>
      </c>
      <c r="BC47" s="190">
        <f t="shared" si="83"/>
        <v>0</v>
      </c>
      <c r="BD47" s="84">
        <f t="shared" si="83"/>
        <v>0</v>
      </c>
      <c r="BE47" s="84">
        <f t="shared" si="98"/>
        <v>0</v>
      </c>
      <c r="BF47" s="170">
        <f t="shared" si="42"/>
        <v>0</v>
      </c>
      <c r="BG47" s="83"/>
      <c r="BH47" s="120"/>
      <c r="BI47" s="31"/>
      <c r="BJ47" s="41">
        <f t="shared" si="30"/>
        <v>0</v>
      </c>
      <c r="BK47" s="17"/>
      <c r="BL47" s="120"/>
      <c r="BM47" s="31"/>
      <c r="BN47" s="41">
        <f t="shared" si="43"/>
        <v>0</v>
      </c>
      <c r="BO47" s="17"/>
      <c r="BP47" s="120"/>
      <c r="BQ47" s="31"/>
      <c r="BR47" s="41">
        <f t="shared" si="44"/>
        <v>0</v>
      </c>
      <c r="BS47" s="17">
        <f t="shared" si="99"/>
        <v>0</v>
      </c>
      <c r="BT47" s="18">
        <f t="shared" si="99"/>
        <v>0</v>
      </c>
      <c r="BU47" s="18">
        <f t="shared" si="99"/>
        <v>0</v>
      </c>
      <c r="BV47" s="20">
        <f t="shared" si="45"/>
        <v>0</v>
      </c>
      <c r="BW47" s="17">
        <f t="shared" si="84"/>
        <v>0</v>
      </c>
      <c r="BX47" s="18">
        <f t="shared" si="84"/>
        <v>0</v>
      </c>
      <c r="BY47" s="18">
        <f t="shared" si="84"/>
        <v>0</v>
      </c>
      <c r="BZ47" s="20">
        <f t="shared" si="46"/>
        <v>0</v>
      </c>
      <c r="CA47" s="17">
        <f>BW47+AI47</f>
        <v>0</v>
      </c>
      <c r="CB47" s="18"/>
      <c r="CC47" s="18"/>
      <c r="CD47" s="20">
        <f t="shared" si="92"/>
        <v>0</v>
      </c>
      <c r="CH47" s="3"/>
      <c r="CJ47" s="91"/>
      <c r="CK47" s="91"/>
      <c r="CL47" s="91"/>
      <c r="CM47" s="91"/>
      <c r="CN47" s="91">
        <f t="shared" si="78"/>
        <v>0</v>
      </c>
      <c r="CO47" s="91">
        <f t="shared" si="78"/>
        <v>0</v>
      </c>
      <c r="CP47" s="91">
        <f t="shared" si="78"/>
        <v>0</v>
      </c>
      <c r="CQ47" s="91">
        <f t="shared" si="78"/>
        <v>0</v>
      </c>
    </row>
    <row r="48" spans="1:95" ht="16.5" x14ac:dyDescent="0.3">
      <c r="A48" s="9">
        <v>7.5</v>
      </c>
      <c r="B48" s="39" t="s">
        <v>59</v>
      </c>
      <c r="C48" s="168">
        <f>C49+C50</f>
        <v>60000</v>
      </c>
      <c r="D48" s="25">
        <f>D49+D50</f>
        <v>82255.05</v>
      </c>
      <c r="E48" s="90">
        <f>E49+E50</f>
        <v>82255.05</v>
      </c>
      <c r="F48" s="170">
        <f t="shared" si="70"/>
        <v>22255.050000000003</v>
      </c>
      <c r="G48" s="89">
        <f>G49+G50</f>
        <v>50000</v>
      </c>
      <c r="H48" s="25">
        <f>H49+H50</f>
        <v>178267.28</v>
      </c>
      <c r="I48" s="25">
        <f>I49+I50</f>
        <v>178267.28</v>
      </c>
      <c r="J48" s="19">
        <f t="shared" si="71"/>
        <v>128267.28</v>
      </c>
      <c r="K48" s="25">
        <f>K49+K50</f>
        <v>55000</v>
      </c>
      <c r="L48" s="25">
        <f>L49+L50</f>
        <v>31586.549999999996</v>
      </c>
      <c r="M48" s="25">
        <f>M49+M50</f>
        <v>12766.660000000002</v>
      </c>
      <c r="N48" s="19">
        <f t="shared" si="72"/>
        <v>-23413.450000000004</v>
      </c>
      <c r="O48" s="95">
        <f t="shared" ref="O48" si="101">K48+G48+C48</f>
        <v>165000</v>
      </c>
      <c r="P48" s="95">
        <f t="shared" si="79"/>
        <v>292108.88</v>
      </c>
      <c r="Q48" s="95">
        <f t="shared" si="79"/>
        <v>273288.99</v>
      </c>
      <c r="R48" s="30">
        <f t="shared" si="80"/>
        <v>127108.88</v>
      </c>
      <c r="S48" s="25">
        <f>S49+S50</f>
        <v>35000</v>
      </c>
      <c r="T48" s="31">
        <f>T49+T50</f>
        <v>24600.78</v>
      </c>
      <c r="U48" s="31">
        <f>U49+U50</f>
        <v>31863.279999999999</v>
      </c>
      <c r="V48" s="30">
        <f t="shared" si="75"/>
        <v>-10399.220000000001</v>
      </c>
      <c r="W48" s="25">
        <f>W49+W50</f>
        <v>65000</v>
      </c>
      <c r="X48" s="31">
        <f>X49+X50</f>
        <v>71085.850000000006</v>
      </c>
      <c r="Y48" s="30">
        <f>Y49+Y50</f>
        <v>122156.96</v>
      </c>
      <c r="Z48" s="31">
        <f t="shared" si="35"/>
        <v>6085.8500000000058</v>
      </c>
      <c r="AA48" s="89">
        <f>AA49+AA50</f>
        <v>65000</v>
      </c>
      <c r="AB48" s="31">
        <f>AB49+AB50</f>
        <v>58156.08</v>
      </c>
      <c r="AC48" s="95">
        <f>AC49+AC50</f>
        <v>124946.92000000001</v>
      </c>
      <c r="AD48" s="30">
        <f t="shared" si="29"/>
        <v>-6843.9199999999983</v>
      </c>
      <c r="AE48" s="25">
        <f t="shared" si="93"/>
        <v>165000</v>
      </c>
      <c r="AF48" s="31">
        <f t="shared" si="93"/>
        <v>153842.71000000002</v>
      </c>
      <c r="AG48" s="31">
        <f t="shared" si="93"/>
        <v>278967.16000000003</v>
      </c>
      <c r="AH48" s="19">
        <f t="shared" si="36"/>
        <v>-11157.289999999979</v>
      </c>
      <c r="AI48" s="25">
        <f t="shared" si="94"/>
        <v>330000</v>
      </c>
      <c r="AJ48" s="31">
        <f t="shared" si="94"/>
        <v>445951.59</v>
      </c>
      <c r="AK48" s="31">
        <f t="shared" si="94"/>
        <v>552256.15</v>
      </c>
      <c r="AL48" s="30">
        <f t="shared" si="90"/>
        <v>115951.59000000003</v>
      </c>
      <c r="AM48" s="25">
        <f>AM49+AM50</f>
        <v>65000</v>
      </c>
      <c r="AN48" s="31">
        <f>AN49+AN50</f>
        <v>114800.75</v>
      </c>
      <c r="AO48" s="95">
        <f>AO49+AO50</f>
        <v>262621.73000000004</v>
      </c>
      <c r="AP48" s="32">
        <f t="shared" si="66"/>
        <v>49800.75</v>
      </c>
      <c r="AQ48" s="25">
        <f>AQ49+AQ50</f>
        <v>65000</v>
      </c>
      <c r="AR48" s="31">
        <f>AR49+AR50</f>
        <v>251935.67</v>
      </c>
      <c r="AS48" s="95">
        <f>AS49+AS50</f>
        <v>337782.14999999997</v>
      </c>
      <c r="AT48" s="32">
        <f t="shared" si="67"/>
        <v>186935.67</v>
      </c>
      <c r="AU48" s="25">
        <f>AU49+AU50</f>
        <v>65000</v>
      </c>
      <c r="AV48" s="31">
        <f>AV49+AV50</f>
        <v>99518.76</v>
      </c>
      <c r="AW48" s="95">
        <f>AW49+AW50</f>
        <v>119745.60000000001</v>
      </c>
      <c r="AX48" s="20">
        <f t="shared" si="88"/>
        <v>34518.759999999995</v>
      </c>
      <c r="AY48" s="25">
        <f t="shared" si="95"/>
        <v>195000</v>
      </c>
      <c r="AZ48" s="31">
        <f t="shared" si="95"/>
        <v>466255.18000000005</v>
      </c>
      <c r="BA48" s="31">
        <f t="shared" si="95"/>
        <v>720149.48</v>
      </c>
      <c r="BB48" s="30">
        <f t="shared" si="91"/>
        <v>271255.18000000005</v>
      </c>
      <c r="BC48" s="191">
        <f t="shared" si="83"/>
        <v>525000</v>
      </c>
      <c r="BD48" s="96">
        <f t="shared" si="83"/>
        <v>912206.77</v>
      </c>
      <c r="BE48" s="163">
        <f t="shared" si="98"/>
        <v>1272405.6299999999</v>
      </c>
      <c r="BF48" s="178">
        <f t="shared" si="42"/>
        <v>387206.77</v>
      </c>
      <c r="BG48" s="89">
        <f>BG49+BG50</f>
        <v>65000</v>
      </c>
      <c r="BH48" s="31">
        <f>BH49+BH50</f>
        <v>71647.510000000009</v>
      </c>
      <c r="BI48" s="31">
        <f>BI49+BI50</f>
        <v>92629.31</v>
      </c>
      <c r="BJ48" s="27">
        <f t="shared" si="30"/>
        <v>6647.5100000000093</v>
      </c>
      <c r="BK48" s="25">
        <f>BK49+BK50</f>
        <v>60000</v>
      </c>
      <c r="BL48" s="31">
        <f>BL49+BL50</f>
        <v>54710.19</v>
      </c>
      <c r="BM48" s="31">
        <f>BM49+BM50</f>
        <v>76889.430000000008</v>
      </c>
      <c r="BN48" s="27">
        <f t="shared" si="43"/>
        <v>-5289.8099999999977</v>
      </c>
      <c r="BO48" s="31">
        <f>BO49+BO50</f>
        <v>50000</v>
      </c>
      <c r="BP48" s="31">
        <f>BP49+BP50</f>
        <v>114976.26000000001</v>
      </c>
      <c r="BQ48" s="31">
        <f>BQ49+BQ50</f>
        <v>318991.63</v>
      </c>
      <c r="BR48" s="27">
        <f t="shared" si="44"/>
        <v>64976.260000000009</v>
      </c>
      <c r="BS48" s="17">
        <f t="shared" si="99"/>
        <v>175000</v>
      </c>
      <c r="BT48" s="18">
        <f t="shared" si="99"/>
        <v>241333.96000000002</v>
      </c>
      <c r="BU48" s="18">
        <f t="shared" si="99"/>
        <v>488510.37</v>
      </c>
      <c r="BV48" s="20">
        <f t="shared" si="45"/>
        <v>66333.960000000021</v>
      </c>
      <c r="BW48" s="25">
        <f t="shared" si="84"/>
        <v>370000</v>
      </c>
      <c r="BX48" s="31">
        <f t="shared" si="84"/>
        <v>707589.14000000013</v>
      </c>
      <c r="BY48" s="95">
        <f t="shared" si="84"/>
        <v>1208659.8500000001</v>
      </c>
      <c r="BZ48" s="32">
        <f t="shared" si="46"/>
        <v>337589.14000000013</v>
      </c>
      <c r="CA48" s="25">
        <f>BW48+AI48</f>
        <v>700000</v>
      </c>
      <c r="CB48" s="31">
        <f t="shared" ref="CB48:CC50" si="102">BX48+AJ48</f>
        <v>1153540.7300000002</v>
      </c>
      <c r="CC48" s="95">
        <f t="shared" si="102"/>
        <v>1760916</v>
      </c>
      <c r="CD48" s="32">
        <f t="shared" si="92"/>
        <v>453540.73000000021</v>
      </c>
      <c r="CH48" s="3"/>
      <c r="CJ48" s="208">
        <f>CJ49+CJ50</f>
        <v>175000</v>
      </c>
      <c r="CK48" s="208">
        <f>CK49+CK50</f>
        <v>241333.96000000002</v>
      </c>
      <c r="CL48" s="208">
        <f>CL49+CL50</f>
        <v>488510.37</v>
      </c>
      <c r="CM48" s="208">
        <f>CM49+CM50</f>
        <v>66333.960000000006</v>
      </c>
      <c r="CN48" s="208">
        <f t="shared" si="78"/>
        <v>700000</v>
      </c>
      <c r="CO48" s="208">
        <f t="shared" si="78"/>
        <v>1153540.73</v>
      </c>
      <c r="CP48" s="208">
        <f t="shared" si="78"/>
        <v>1760916</v>
      </c>
      <c r="CQ48" s="208">
        <f t="shared" si="78"/>
        <v>453540.7300000001</v>
      </c>
    </row>
    <row r="49" spans="1:95" ht="17.649999999999999" customHeight="1" x14ac:dyDescent="0.3">
      <c r="A49" s="9"/>
      <c r="B49" s="26" t="s">
        <v>60</v>
      </c>
      <c r="C49" s="174">
        <v>30000</v>
      </c>
      <c r="D49" s="43">
        <f>12400+6739.45+21900+11233.35+10282.58+5973.87</f>
        <v>68529.25</v>
      </c>
      <c r="E49" s="43">
        <f>12400+21900+34229.25</f>
        <v>68529.25</v>
      </c>
      <c r="F49" s="170">
        <f t="shared" si="70"/>
        <v>38529.25</v>
      </c>
      <c r="G49" s="83">
        <v>20000</v>
      </c>
      <c r="H49" s="18">
        <f>17955.75+9049.4+2849.26+1480.4+31500+740.2+2262.35+50754+15005.54</f>
        <v>131596.9</v>
      </c>
      <c r="I49" s="18">
        <f>15005.54+34337.36+31500+50754</f>
        <v>131596.9</v>
      </c>
      <c r="J49" s="19">
        <f t="shared" si="71"/>
        <v>111596.9</v>
      </c>
      <c r="K49" s="17">
        <v>25000</v>
      </c>
      <c r="L49" s="18">
        <f>1597.1+4154</f>
        <v>5751.1</v>
      </c>
      <c r="M49" s="43">
        <f>5751.1</f>
        <v>5751.1</v>
      </c>
      <c r="N49" s="19">
        <f t="shared" si="72"/>
        <v>-19248.900000000001</v>
      </c>
      <c r="O49" s="17">
        <f t="shared" si="87"/>
        <v>75000</v>
      </c>
      <c r="P49" s="43">
        <f t="shared" si="79"/>
        <v>205877.25</v>
      </c>
      <c r="Q49" s="43">
        <f t="shared" si="79"/>
        <v>205877.25</v>
      </c>
      <c r="R49" s="19">
        <f t="shared" si="80"/>
        <v>130877.25</v>
      </c>
      <c r="S49" s="17">
        <v>15000</v>
      </c>
      <c r="T49" s="18"/>
      <c r="U49" s="43">
        <v>7262.5</v>
      </c>
      <c r="V49" s="19">
        <f t="shared" si="75"/>
        <v>-15000</v>
      </c>
      <c r="W49" s="17">
        <v>35000</v>
      </c>
      <c r="X49" s="18"/>
      <c r="Y49" s="37"/>
      <c r="Z49" s="18">
        <f t="shared" si="35"/>
        <v>-35000</v>
      </c>
      <c r="AA49" s="83">
        <v>35000</v>
      </c>
      <c r="AB49" s="18">
        <f>20937.6+5493.13+4033.69</f>
        <v>30464.42</v>
      </c>
      <c r="AC49" s="43">
        <v>54092.94</v>
      </c>
      <c r="AD49" s="19">
        <f t="shared" si="29"/>
        <v>-4535.5800000000017</v>
      </c>
      <c r="AE49" s="17">
        <f t="shared" si="93"/>
        <v>85000</v>
      </c>
      <c r="AF49" s="18">
        <f t="shared" si="93"/>
        <v>30464.42</v>
      </c>
      <c r="AG49" s="18">
        <f t="shared" si="93"/>
        <v>61355.44</v>
      </c>
      <c r="AH49" s="19">
        <f t="shared" si="36"/>
        <v>-54535.58</v>
      </c>
      <c r="AI49" s="17">
        <f t="shared" si="94"/>
        <v>160000</v>
      </c>
      <c r="AJ49" s="18">
        <f t="shared" si="94"/>
        <v>236341.66999999998</v>
      </c>
      <c r="AK49" s="18">
        <f t="shared" si="94"/>
        <v>267232.69</v>
      </c>
      <c r="AL49" s="19">
        <f t="shared" si="90"/>
        <v>76341.669999999984</v>
      </c>
      <c r="AM49" s="17">
        <v>35000</v>
      </c>
      <c r="AN49" s="18">
        <f>12015+2939.9+4826.43+6787.09</f>
        <v>26568.420000000002</v>
      </c>
      <c r="AO49" s="43">
        <f>7259.9</f>
        <v>7259.9</v>
      </c>
      <c r="AP49" s="20">
        <f t="shared" si="66"/>
        <v>-8431.5799999999981</v>
      </c>
      <c r="AQ49" s="17">
        <v>35000</v>
      </c>
      <c r="AR49" s="18">
        <f>4320+1120+6120.99+890+12826.17+6097</f>
        <v>31374.16</v>
      </c>
      <c r="AS49" s="43">
        <v>20957.16</v>
      </c>
      <c r="AT49" s="20">
        <f t="shared" si="67"/>
        <v>-3625.84</v>
      </c>
      <c r="AU49" s="17">
        <v>35000</v>
      </c>
      <c r="AV49" s="18">
        <f>50754+8634</f>
        <v>59388</v>
      </c>
      <c r="AW49" s="43">
        <f>50754+8634</f>
        <v>59388</v>
      </c>
      <c r="AX49" s="20">
        <f t="shared" si="88"/>
        <v>24388</v>
      </c>
      <c r="AY49" s="17">
        <f t="shared" si="95"/>
        <v>105000</v>
      </c>
      <c r="AZ49" s="18">
        <f t="shared" si="95"/>
        <v>117330.58</v>
      </c>
      <c r="BA49" s="18">
        <f t="shared" si="95"/>
        <v>87605.06</v>
      </c>
      <c r="BB49" s="19">
        <f t="shared" si="91"/>
        <v>12330.580000000002</v>
      </c>
      <c r="BC49" s="190">
        <f t="shared" si="83"/>
        <v>265000</v>
      </c>
      <c r="BD49" s="84">
        <f t="shared" si="83"/>
        <v>353672.25</v>
      </c>
      <c r="BE49" s="84">
        <f t="shared" si="98"/>
        <v>354837.75</v>
      </c>
      <c r="BF49" s="170">
        <f t="shared" si="42"/>
        <v>88672.25</v>
      </c>
      <c r="BG49" s="83">
        <v>35000</v>
      </c>
      <c r="BH49" s="18">
        <f>52239.44+7432.47</f>
        <v>59671.91</v>
      </c>
      <c r="BI49" s="18">
        <v>59671.91</v>
      </c>
      <c r="BJ49" s="41">
        <f t="shared" si="30"/>
        <v>24671.910000000003</v>
      </c>
      <c r="BK49" s="17">
        <v>30000</v>
      </c>
      <c r="BL49" s="18">
        <f>23482.74</f>
        <v>23482.74</v>
      </c>
      <c r="BM49" s="18">
        <f>23482.74+29755</f>
        <v>53237.740000000005</v>
      </c>
      <c r="BN49" s="41">
        <f t="shared" si="43"/>
        <v>-6517.2599999999984</v>
      </c>
      <c r="BO49" s="17">
        <v>20000</v>
      </c>
      <c r="BP49" s="18">
        <f>4300.83+57024+4336.3+5824+2208+11300</f>
        <v>84993.13</v>
      </c>
      <c r="BQ49" s="18">
        <f>57024+29765.57+4300.83+9000</f>
        <v>100090.40000000001</v>
      </c>
      <c r="BR49" s="41">
        <f t="shared" si="44"/>
        <v>64993.130000000005</v>
      </c>
      <c r="BS49" s="17">
        <f t="shared" si="99"/>
        <v>85000</v>
      </c>
      <c r="BT49" s="18">
        <f t="shared" si="99"/>
        <v>168147.78000000003</v>
      </c>
      <c r="BU49" s="18">
        <f t="shared" si="99"/>
        <v>213000.05000000002</v>
      </c>
      <c r="BV49" s="20">
        <f t="shared" si="45"/>
        <v>83147.780000000028</v>
      </c>
      <c r="BW49" s="17">
        <f t="shared" si="84"/>
        <v>190000</v>
      </c>
      <c r="BX49" s="18">
        <f t="shared" si="84"/>
        <v>285478.36000000004</v>
      </c>
      <c r="BY49" s="43">
        <f t="shared" si="84"/>
        <v>300605.11</v>
      </c>
      <c r="BZ49" s="20">
        <f t="shared" si="46"/>
        <v>95478.360000000044</v>
      </c>
      <c r="CA49" s="17">
        <f>BW49+AI49</f>
        <v>350000</v>
      </c>
      <c r="CB49" s="18">
        <f t="shared" si="102"/>
        <v>521820.03</v>
      </c>
      <c r="CC49" s="43">
        <f t="shared" si="102"/>
        <v>567837.80000000005</v>
      </c>
      <c r="CD49" s="20">
        <f t="shared" si="92"/>
        <v>171820.03000000003</v>
      </c>
      <c r="CH49" s="3"/>
      <c r="CJ49" s="91">
        <f t="shared" ref="CJ49:CM50" si="103">BG49+BK49+BO49</f>
        <v>85000</v>
      </c>
      <c r="CK49" s="91">
        <f t="shared" si="103"/>
        <v>168147.78000000003</v>
      </c>
      <c r="CL49" s="91">
        <f t="shared" si="103"/>
        <v>213000.05000000002</v>
      </c>
      <c r="CM49" s="91">
        <f t="shared" si="103"/>
        <v>83147.780000000013</v>
      </c>
      <c r="CN49" s="91">
        <f t="shared" si="78"/>
        <v>350000</v>
      </c>
      <c r="CO49" s="91">
        <f t="shared" si="78"/>
        <v>521820.03</v>
      </c>
      <c r="CP49" s="91">
        <f t="shared" si="78"/>
        <v>567837.80000000005</v>
      </c>
      <c r="CQ49" s="91">
        <f t="shared" si="78"/>
        <v>171820.03000000003</v>
      </c>
    </row>
    <row r="50" spans="1:95" ht="21.4" customHeight="1" x14ac:dyDescent="0.3">
      <c r="A50" s="9"/>
      <c r="B50" s="28" t="s">
        <v>61</v>
      </c>
      <c r="C50" s="174">
        <v>30000</v>
      </c>
      <c r="D50" s="18">
        <f>4933.8+6903+1889</f>
        <v>13725.8</v>
      </c>
      <c r="E50" s="43">
        <f>11836.8+1889</f>
        <v>13725.8</v>
      </c>
      <c r="F50" s="170">
        <f t="shared" si="70"/>
        <v>-16274.2</v>
      </c>
      <c r="G50" s="83">
        <v>30000</v>
      </c>
      <c r="H50" s="18">
        <f>2880+9287.28+4503.1+30000</f>
        <v>46670.380000000005</v>
      </c>
      <c r="I50" s="43">
        <f>30000+13790.38+2880</f>
        <v>46670.38</v>
      </c>
      <c r="J50" s="19">
        <f t="shared" si="71"/>
        <v>16670.380000000005</v>
      </c>
      <c r="K50" s="17">
        <v>30000</v>
      </c>
      <c r="L50" s="18">
        <f>19553.76+6281.69</f>
        <v>25835.449999999997</v>
      </c>
      <c r="M50" s="18">
        <f>25835.45-18819.89</f>
        <v>7015.5600000000013</v>
      </c>
      <c r="N50" s="19">
        <f t="shared" si="72"/>
        <v>-4164.5500000000029</v>
      </c>
      <c r="O50" s="17">
        <f t="shared" si="87"/>
        <v>90000</v>
      </c>
      <c r="P50" s="43">
        <f t="shared" ref="P50:Q50" si="104">L50+H50+D50</f>
        <v>86231.63</v>
      </c>
      <c r="Q50" s="43">
        <f t="shared" si="104"/>
        <v>67411.740000000005</v>
      </c>
      <c r="R50" s="19">
        <f t="shared" si="80"/>
        <v>-3768.3699999999953</v>
      </c>
      <c r="S50" s="17">
        <v>20000</v>
      </c>
      <c r="T50" s="18">
        <f>6501.1+2226.42+13943.66+1929.6</f>
        <v>24600.78</v>
      </c>
      <c r="U50" s="18">
        <f>18099.68+6501.1</f>
        <v>24600.78</v>
      </c>
      <c r="V50" s="19">
        <f t="shared" si="75"/>
        <v>4600.7799999999988</v>
      </c>
      <c r="W50" s="17">
        <v>30000</v>
      </c>
      <c r="X50" s="18">
        <f>9340+7639.9+21443.96+32661.99</f>
        <v>71085.850000000006</v>
      </c>
      <c r="Y50" s="19">
        <f>54105.95+16979.9+51071.11</f>
        <v>122156.96</v>
      </c>
      <c r="Z50" s="18">
        <f t="shared" si="35"/>
        <v>41085.850000000006</v>
      </c>
      <c r="AA50" s="83">
        <v>30000</v>
      </c>
      <c r="AB50" s="18">
        <f>3267+6264+18160.66</f>
        <v>27691.66</v>
      </c>
      <c r="AC50" s="43">
        <f>6264+3267+61322.98</f>
        <v>70853.98000000001</v>
      </c>
      <c r="AD50" s="19">
        <f t="shared" si="29"/>
        <v>-2308.34</v>
      </c>
      <c r="AE50" s="17">
        <f t="shared" si="93"/>
        <v>80000</v>
      </c>
      <c r="AF50" s="18">
        <f t="shared" si="93"/>
        <v>123378.29000000001</v>
      </c>
      <c r="AG50" s="18">
        <f t="shared" si="93"/>
        <v>217611.72</v>
      </c>
      <c r="AH50" s="19">
        <f t="shared" si="36"/>
        <v>43378.290000000008</v>
      </c>
      <c r="AI50" s="17">
        <f t="shared" si="94"/>
        <v>170000</v>
      </c>
      <c r="AJ50" s="18">
        <f t="shared" si="94"/>
        <v>209609.92</v>
      </c>
      <c r="AK50" s="18">
        <f t="shared" si="94"/>
        <v>285023.46000000002</v>
      </c>
      <c r="AL50" s="19">
        <f t="shared" si="90"/>
        <v>39609.920000000013</v>
      </c>
      <c r="AM50" s="17">
        <v>30000</v>
      </c>
      <c r="AN50" s="18">
        <f>23573.7+5287.43+8747+14101.2+33698+2825</f>
        <v>88232.33</v>
      </c>
      <c r="AO50" s="43">
        <f>94820.99+8747+145018.84+6775</f>
        <v>255361.83000000002</v>
      </c>
      <c r="AP50" s="20">
        <f t="shared" si="66"/>
        <v>58232.33</v>
      </c>
      <c r="AQ50" s="17">
        <v>30000</v>
      </c>
      <c r="AR50" s="18">
        <f>145018.84+203030.12+38133.76+13284.09+4319.7-183225</f>
        <v>220561.51</v>
      </c>
      <c r="AS50" s="43">
        <f>55737.55+246010.52+15076.92</f>
        <v>316824.99</v>
      </c>
      <c r="AT50" s="20">
        <f t="shared" si="67"/>
        <v>190561.51</v>
      </c>
      <c r="AU50" s="17">
        <v>30000</v>
      </c>
      <c r="AV50" s="18">
        <f>28788.4+7027.16+4315.2</f>
        <v>40130.759999999995</v>
      </c>
      <c r="AW50" s="43">
        <f>58711.8+5964.6+4315.2-8634</f>
        <v>60357.600000000006</v>
      </c>
      <c r="AX50" s="20">
        <f t="shared" si="88"/>
        <v>10130.759999999995</v>
      </c>
      <c r="AY50" s="17">
        <f t="shared" si="95"/>
        <v>90000</v>
      </c>
      <c r="AZ50" s="18">
        <f>AN50+AR50+AV50</f>
        <v>348924.60000000003</v>
      </c>
      <c r="BA50" s="18">
        <f t="shared" si="95"/>
        <v>632544.42000000004</v>
      </c>
      <c r="BB50" s="19">
        <f t="shared" si="91"/>
        <v>258924.60000000003</v>
      </c>
      <c r="BC50" s="190">
        <f t="shared" si="83"/>
        <v>260000</v>
      </c>
      <c r="BD50" s="84">
        <f t="shared" si="83"/>
        <v>558534.52</v>
      </c>
      <c r="BE50" s="84">
        <f t="shared" si="98"/>
        <v>917567.88000000012</v>
      </c>
      <c r="BF50" s="170">
        <f t="shared" si="42"/>
        <v>298534.52</v>
      </c>
      <c r="BG50" s="83">
        <v>30000</v>
      </c>
      <c r="BH50" s="18">
        <f>11254.8+720.8</f>
        <v>11975.599999999999</v>
      </c>
      <c r="BI50" s="18">
        <f>21702.6+11254.8</f>
        <v>32957.399999999994</v>
      </c>
      <c r="BJ50" s="41">
        <f t="shared" si="30"/>
        <v>-18024.400000000001</v>
      </c>
      <c r="BK50" s="17">
        <v>30000</v>
      </c>
      <c r="BL50" s="18">
        <f>940.5+2821.5+5954.4+11322.9+10188.15</f>
        <v>31227.449999999997</v>
      </c>
      <c r="BM50" s="18">
        <f>49644.69+3762-29755</f>
        <v>23651.690000000002</v>
      </c>
      <c r="BN50" s="41">
        <f t="shared" si="43"/>
        <v>1227.4499999999971</v>
      </c>
      <c r="BO50" s="17">
        <v>30000</v>
      </c>
      <c r="BP50" s="18">
        <f>1175.8+224.46+7560+7069.98+328.72+13624.17</f>
        <v>29983.129999999997</v>
      </c>
      <c r="BQ50" s="18">
        <f>53742.73+163982.7+1175.8</f>
        <v>218901.23</v>
      </c>
      <c r="BR50" s="41">
        <f t="shared" si="44"/>
        <v>-16.870000000002619</v>
      </c>
      <c r="BS50" s="17">
        <f t="shared" si="99"/>
        <v>90000</v>
      </c>
      <c r="BT50" s="18">
        <f t="shared" si="99"/>
        <v>73186.179999999993</v>
      </c>
      <c r="BU50" s="18">
        <f t="shared" si="99"/>
        <v>275510.32</v>
      </c>
      <c r="BV50" s="20">
        <f t="shared" si="45"/>
        <v>-16813.820000000007</v>
      </c>
      <c r="BW50" s="17">
        <f t="shared" si="84"/>
        <v>180000</v>
      </c>
      <c r="BX50" s="18">
        <f t="shared" si="84"/>
        <v>422110.78</v>
      </c>
      <c r="BY50" s="43">
        <f t="shared" si="84"/>
        <v>908054.74</v>
      </c>
      <c r="BZ50" s="20">
        <f t="shared" si="46"/>
        <v>242110.78000000003</v>
      </c>
      <c r="CA50" s="17">
        <f>BW50+AI50</f>
        <v>350000</v>
      </c>
      <c r="CB50" s="18">
        <f t="shared" si="102"/>
        <v>631720.70000000007</v>
      </c>
      <c r="CC50" s="43">
        <f t="shared" si="102"/>
        <v>1193078.2</v>
      </c>
      <c r="CD50" s="20">
        <f t="shared" si="92"/>
        <v>281720.70000000007</v>
      </c>
      <c r="CH50" s="3"/>
      <c r="CJ50" s="91">
        <f t="shared" si="103"/>
        <v>90000</v>
      </c>
      <c r="CK50" s="91">
        <f t="shared" si="103"/>
        <v>73186.179999999993</v>
      </c>
      <c r="CL50" s="91">
        <f t="shared" si="103"/>
        <v>275510.32</v>
      </c>
      <c r="CM50" s="91">
        <f t="shared" si="103"/>
        <v>-16813.820000000007</v>
      </c>
      <c r="CN50" s="91">
        <f t="shared" si="78"/>
        <v>350000</v>
      </c>
      <c r="CO50" s="91">
        <f t="shared" si="78"/>
        <v>631720.69999999995</v>
      </c>
      <c r="CP50" s="91">
        <f t="shared" si="78"/>
        <v>1193078.2000000002</v>
      </c>
      <c r="CQ50" s="91">
        <f t="shared" si="78"/>
        <v>281720.7</v>
      </c>
    </row>
    <row r="51" spans="1:95" ht="16.5" x14ac:dyDescent="0.3">
      <c r="A51" s="9">
        <v>7.6</v>
      </c>
      <c r="B51" s="39" t="s">
        <v>62</v>
      </c>
      <c r="C51" s="31">
        <f t="shared" ref="C51:M51" si="105">C52+C53+C54</f>
        <v>12500</v>
      </c>
      <c r="D51" s="31">
        <f t="shared" si="105"/>
        <v>22071</v>
      </c>
      <c r="E51" s="95">
        <f t="shared" si="105"/>
        <v>89471</v>
      </c>
      <c r="F51" s="178">
        <f t="shared" si="105"/>
        <v>9571</v>
      </c>
      <c r="G51" s="89">
        <f t="shared" si="105"/>
        <v>12500</v>
      </c>
      <c r="H51" s="31">
        <f>H52+H53+H54</f>
        <v>76463.960000000006</v>
      </c>
      <c r="I51" s="31">
        <f t="shared" si="105"/>
        <v>9063.9599999999991</v>
      </c>
      <c r="J51" s="31">
        <f t="shared" si="105"/>
        <v>63963.96</v>
      </c>
      <c r="K51" s="31">
        <f t="shared" si="105"/>
        <v>12500</v>
      </c>
      <c r="L51" s="31">
        <f t="shared" si="105"/>
        <v>136627.17000000001</v>
      </c>
      <c r="M51" s="31">
        <f t="shared" si="105"/>
        <v>136627.17000000001</v>
      </c>
      <c r="N51" s="19">
        <f t="shared" si="72"/>
        <v>124127.17000000001</v>
      </c>
      <c r="O51" s="31">
        <f t="shared" ref="O51:BZ51" si="106">O52+O53+O54</f>
        <v>37500</v>
      </c>
      <c r="P51" s="31">
        <f t="shared" si="106"/>
        <v>235162.13</v>
      </c>
      <c r="Q51" s="31">
        <f t="shared" si="106"/>
        <v>235162.13</v>
      </c>
      <c r="R51" s="31">
        <f t="shared" si="106"/>
        <v>197662.13</v>
      </c>
      <c r="S51" s="31">
        <f t="shared" si="106"/>
        <v>12500</v>
      </c>
      <c r="T51" s="31">
        <f t="shared" si="106"/>
        <v>0</v>
      </c>
      <c r="U51" s="31">
        <f t="shared" si="106"/>
        <v>0</v>
      </c>
      <c r="V51" s="31">
        <f t="shared" si="106"/>
        <v>-12500</v>
      </c>
      <c r="W51" s="31">
        <f t="shared" si="106"/>
        <v>12500</v>
      </c>
      <c r="X51" s="31">
        <f t="shared" si="106"/>
        <v>0</v>
      </c>
      <c r="Y51" s="30">
        <f t="shared" si="106"/>
        <v>0</v>
      </c>
      <c r="Z51" s="31">
        <f t="shared" si="106"/>
        <v>-12500</v>
      </c>
      <c r="AA51" s="89">
        <f t="shared" si="106"/>
        <v>12500</v>
      </c>
      <c r="AB51" s="31">
        <f t="shared" si="106"/>
        <v>18148.89</v>
      </c>
      <c r="AC51" s="31">
        <f t="shared" si="106"/>
        <v>18148.89</v>
      </c>
      <c r="AD51" s="31">
        <f t="shared" si="106"/>
        <v>5648.8899999999994</v>
      </c>
      <c r="AE51" s="31">
        <f t="shared" si="106"/>
        <v>37500</v>
      </c>
      <c r="AF51" s="31">
        <f t="shared" si="106"/>
        <v>18148.89</v>
      </c>
      <c r="AG51" s="31">
        <f t="shared" si="106"/>
        <v>18148.89</v>
      </c>
      <c r="AH51" s="31">
        <f t="shared" si="106"/>
        <v>-19351.11</v>
      </c>
      <c r="AI51" s="31">
        <f t="shared" si="106"/>
        <v>75000</v>
      </c>
      <c r="AJ51" s="31">
        <f t="shared" si="106"/>
        <v>253311.02000000002</v>
      </c>
      <c r="AK51" s="31">
        <f t="shared" si="106"/>
        <v>253311.02000000002</v>
      </c>
      <c r="AL51" s="31">
        <f t="shared" si="106"/>
        <v>178311.02000000002</v>
      </c>
      <c r="AM51" s="31">
        <f t="shared" si="106"/>
        <v>12500</v>
      </c>
      <c r="AN51" s="31">
        <f t="shared" si="106"/>
        <v>0</v>
      </c>
      <c r="AO51" s="31">
        <f t="shared" si="106"/>
        <v>0</v>
      </c>
      <c r="AP51" s="31">
        <f t="shared" si="106"/>
        <v>-12500</v>
      </c>
      <c r="AQ51" s="31">
        <f t="shared" si="106"/>
        <v>12500</v>
      </c>
      <c r="AR51" s="31">
        <f t="shared" si="106"/>
        <v>3888.98</v>
      </c>
      <c r="AS51" s="95">
        <f t="shared" si="106"/>
        <v>3888.98</v>
      </c>
      <c r="AT51" s="31">
        <f t="shared" si="106"/>
        <v>-8611.02</v>
      </c>
      <c r="AU51" s="31">
        <f t="shared" si="106"/>
        <v>12500</v>
      </c>
      <c r="AV51" s="31">
        <f t="shared" si="106"/>
        <v>4073.2</v>
      </c>
      <c r="AW51" s="95">
        <f t="shared" si="106"/>
        <v>4073.2</v>
      </c>
      <c r="AX51" s="31">
        <f t="shared" si="106"/>
        <v>-8426.7999999999993</v>
      </c>
      <c r="AY51" s="31">
        <f t="shared" si="106"/>
        <v>37500</v>
      </c>
      <c r="AZ51" s="31">
        <f t="shared" si="106"/>
        <v>7962.18</v>
      </c>
      <c r="BA51" s="31">
        <f t="shared" si="106"/>
        <v>7962.18</v>
      </c>
      <c r="BB51" s="30">
        <f t="shared" si="106"/>
        <v>-29537.82</v>
      </c>
      <c r="BC51" s="168">
        <f t="shared" si="106"/>
        <v>112500</v>
      </c>
      <c r="BD51" s="31">
        <f t="shared" si="106"/>
        <v>261273.2</v>
      </c>
      <c r="BE51" s="31">
        <f t="shared" si="106"/>
        <v>261273.2</v>
      </c>
      <c r="BF51" s="178">
        <f t="shared" si="106"/>
        <v>148773.20000000001</v>
      </c>
      <c r="BG51" s="89">
        <f t="shared" si="106"/>
        <v>12500</v>
      </c>
      <c r="BH51" s="31">
        <f t="shared" si="106"/>
        <v>10926.8</v>
      </c>
      <c r="BI51" s="31">
        <f t="shared" si="106"/>
        <v>10926.8</v>
      </c>
      <c r="BJ51" s="31">
        <f t="shared" si="106"/>
        <v>-1573.2000000000007</v>
      </c>
      <c r="BK51" s="31">
        <f t="shared" si="106"/>
        <v>12500</v>
      </c>
      <c r="BL51" s="31">
        <f t="shared" si="106"/>
        <v>0</v>
      </c>
      <c r="BM51" s="31">
        <f t="shared" si="106"/>
        <v>0</v>
      </c>
      <c r="BN51" s="31">
        <f t="shared" si="106"/>
        <v>-12500</v>
      </c>
      <c r="BO51" s="31">
        <f t="shared" si="106"/>
        <v>12500</v>
      </c>
      <c r="BP51" s="31">
        <f t="shared" si="106"/>
        <v>0</v>
      </c>
      <c r="BQ51" s="31">
        <f t="shared" si="106"/>
        <v>0</v>
      </c>
      <c r="BR51" s="31">
        <f t="shared" si="106"/>
        <v>-12500</v>
      </c>
      <c r="BS51" s="31">
        <f t="shared" si="106"/>
        <v>37500</v>
      </c>
      <c r="BT51" s="31">
        <f t="shared" si="106"/>
        <v>10926.8</v>
      </c>
      <c r="BU51" s="31">
        <f t="shared" si="106"/>
        <v>10926.8</v>
      </c>
      <c r="BV51" s="31">
        <f t="shared" si="106"/>
        <v>-26573.200000000001</v>
      </c>
      <c r="BW51" s="31">
        <f t="shared" si="106"/>
        <v>75000</v>
      </c>
      <c r="BX51" s="31">
        <f t="shared" si="106"/>
        <v>18888.98</v>
      </c>
      <c r="BY51" s="31">
        <f t="shared" si="106"/>
        <v>18888.98</v>
      </c>
      <c r="BZ51" s="31">
        <f t="shared" si="106"/>
        <v>-56111.020000000004</v>
      </c>
      <c r="CA51" s="31">
        <f t="shared" ref="CA51:CD51" si="107">CA52+CA53+CA54</f>
        <v>150000</v>
      </c>
      <c r="CB51" s="31">
        <f t="shared" si="107"/>
        <v>272200</v>
      </c>
      <c r="CC51" s="95">
        <f t="shared" si="107"/>
        <v>272200</v>
      </c>
      <c r="CD51" s="31">
        <f t="shared" si="107"/>
        <v>122200</v>
      </c>
      <c r="CH51" s="3"/>
      <c r="CJ51" s="208">
        <f>CJ52+CJ53+CJ54</f>
        <v>37500</v>
      </c>
      <c r="CK51" s="208">
        <f>CK52+CK53+CK54</f>
        <v>10926.8</v>
      </c>
      <c r="CL51" s="208">
        <f>CL52+CL53+CL54</f>
        <v>10926.8</v>
      </c>
      <c r="CM51" s="208">
        <f>CM52+CM53+CM54</f>
        <v>-26573.200000000001</v>
      </c>
      <c r="CN51" s="208">
        <f t="shared" si="78"/>
        <v>150000</v>
      </c>
      <c r="CO51" s="208">
        <f t="shared" si="78"/>
        <v>272200</v>
      </c>
      <c r="CP51" s="208">
        <f t="shared" si="78"/>
        <v>272200</v>
      </c>
      <c r="CQ51" s="208">
        <f t="shared" si="78"/>
        <v>122200.00000000001</v>
      </c>
    </row>
    <row r="52" spans="1:95" ht="16.5" outlineLevel="1" x14ac:dyDescent="0.3">
      <c r="A52" s="9"/>
      <c r="B52" s="28" t="s">
        <v>63</v>
      </c>
      <c r="C52" s="168">
        <v>12500</v>
      </c>
      <c r="D52" s="18"/>
      <c r="E52" s="43">
        <f>67400</f>
        <v>67400</v>
      </c>
      <c r="F52" s="170">
        <f>D52-C52</f>
        <v>-12500</v>
      </c>
      <c r="G52" s="89"/>
      <c r="H52" s="18">
        <v>67400</v>
      </c>
      <c r="I52" s="31"/>
      <c r="J52" s="19">
        <f>H52-G52</f>
        <v>67400</v>
      </c>
      <c r="K52" s="25"/>
      <c r="L52" s="31">
        <v>129000</v>
      </c>
      <c r="M52" s="95">
        <v>129000</v>
      </c>
      <c r="N52" s="19">
        <f t="shared" si="72"/>
        <v>129000</v>
      </c>
      <c r="O52" s="17">
        <f>C52+G52+K52</f>
        <v>12500</v>
      </c>
      <c r="P52" s="43">
        <f t="shared" ref="P52:Q55" si="108">L52+H52+D52</f>
        <v>196400</v>
      </c>
      <c r="Q52" s="43">
        <f t="shared" si="108"/>
        <v>196400</v>
      </c>
      <c r="R52" s="19">
        <f>P52-O52</f>
        <v>183900</v>
      </c>
      <c r="S52" s="17">
        <v>12500</v>
      </c>
      <c r="T52" s="31"/>
      <c r="U52" s="31"/>
      <c r="V52" s="19">
        <f>T52-S52</f>
        <v>-12500</v>
      </c>
      <c r="W52" s="25">
        <v>12500</v>
      </c>
      <c r="X52" s="31"/>
      <c r="Y52" s="30"/>
      <c r="Z52" s="18">
        <f>X52-W52</f>
        <v>-12500</v>
      </c>
      <c r="AA52" s="89">
        <v>12500</v>
      </c>
      <c r="AB52" s="31"/>
      <c r="AC52" s="31"/>
      <c r="AD52" s="19">
        <f>AB52-AA52</f>
        <v>-12500</v>
      </c>
      <c r="AE52" s="17">
        <f t="shared" ref="AE52:AG55" si="109">S52+W52+AA52</f>
        <v>37500</v>
      </c>
      <c r="AF52" s="18">
        <f t="shared" si="109"/>
        <v>0</v>
      </c>
      <c r="AG52" s="18">
        <f t="shared" si="109"/>
        <v>0</v>
      </c>
      <c r="AH52" s="19">
        <f>AF52-AE52</f>
        <v>-37500</v>
      </c>
      <c r="AI52" s="17">
        <f t="shared" ref="AI52:AK55" si="110">AE52+O52</f>
        <v>50000</v>
      </c>
      <c r="AJ52" s="18">
        <f t="shared" si="110"/>
        <v>196400</v>
      </c>
      <c r="AK52" s="18">
        <f t="shared" si="110"/>
        <v>196400</v>
      </c>
      <c r="AL52" s="19">
        <f>AJ52-AI52</f>
        <v>146400</v>
      </c>
      <c r="AM52" s="25"/>
      <c r="AN52" s="31"/>
      <c r="AO52" s="31"/>
      <c r="AP52" s="20">
        <f>AN52-AM52</f>
        <v>0</v>
      </c>
      <c r="AQ52" s="25"/>
      <c r="AR52" s="31"/>
      <c r="AS52" s="31"/>
      <c r="AT52" s="20">
        <f>AR52-AQ52</f>
        <v>0</v>
      </c>
      <c r="AU52" s="25"/>
      <c r="AV52" s="31"/>
      <c r="AW52" s="95"/>
      <c r="AX52" s="20">
        <f>AV52-AU52</f>
        <v>0</v>
      </c>
      <c r="AY52" s="17">
        <f t="shared" ref="AY52:BA55" si="111">AM52+AQ52+AU52</f>
        <v>0</v>
      </c>
      <c r="AZ52" s="18">
        <f t="shared" si="111"/>
        <v>0</v>
      </c>
      <c r="BA52" s="18">
        <f t="shared" si="111"/>
        <v>0</v>
      </c>
      <c r="BB52" s="19">
        <f>AZ52-AY52</f>
        <v>0</v>
      </c>
      <c r="BC52" s="190">
        <f t="shared" ref="BC52:BE55" si="112">(AI52+AY52)</f>
        <v>50000</v>
      </c>
      <c r="BD52" s="84">
        <f t="shared" si="112"/>
        <v>196400</v>
      </c>
      <c r="BE52" s="84">
        <f t="shared" si="112"/>
        <v>196400</v>
      </c>
      <c r="BF52" s="170">
        <f>BD52-BC52</f>
        <v>146400</v>
      </c>
      <c r="BG52" s="89"/>
      <c r="BH52" s="31"/>
      <c r="BI52" s="31"/>
      <c r="BJ52" s="41">
        <f>BH52-BG52</f>
        <v>0</v>
      </c>
      <c r="BK52" s="25"/>
      <c r="BL52" s="31"/>
      <c r="BM52" s="31"/>
      <c r="BN52" s="41">
        <f>BL52-BK52</f>
        <v>0</v>
      </c>
      <c r="BO52" s="25"/>
      <c r="BP52" s="31"/>
      <c r="BQ52" s="31"/>
      <c r="BR52" s="41">
        <f>BP52-BO52</f>
        <v>0</v>
      </c>
      <c r="BS52" s="17">
        <f t="shared" ref="BS52:BU55" si="113">BG52+BK52+BO52</f>
        <v>0</v>
      </c>
      <c r="BT52" s="18">
        <f t="shared" si="113"/>
        <v>0</v>
      </c>
      <c r="BU52" s="18">
        <f t="shared" si="113"/>
        <v>0</v>
      </c>
      <c r="BV52" s="20">
        <f>BT52-BS52</f>
        <v>0</v>
      </c>
      <c r="BW52" s="17">
        <f t="shared" ref="BW52:BY55" si="114">BS52+AY52</f>
        <v>0</v>
      </c>
      <c r="BX52" s="18">
        <f t="shared" si="114"/>
        <v>0</v>
      </c>
      <c r="BY52" s="18">
        <f t="shared" si="114"/>
        <v>0</v>
      </c>
      <c r="BZ52" s="20">
        <f>BX52-BW52</f>
        <v>0</v>
      </c>
      <c r="CA52" s="17">
        <f>BW52+AI52</f>
        <v>50000</v>
      </c>
      <c r="CB52" s="18">
        <f>BX52+AJ52</f>
        <v>196400</v>
      </c>
      <c r="CC52" s="18">
        <f>BY52+AK52</f>
        <v>196400</v>
      </c>
      <c r="CD52" s="20">
        <f>CB52-CA52</f>
        <v>146400</v>
      </c>
      <c r="CH52" s="3"/>
      <c r="CJ52" s="91">
        <f t="shared" ref="CJ52:CM54" si="115">BG52+BK52+BO52</f>
        <v>0</v>
      </c>
      <c r="CK52" s="91">
        <f t="shared" si="115"/>
        <v>0</v>
      </c>
      <c r="CL52" s="91">
        <f t="shared" si="115"/>
        <v>0</v>
      </c>
      <c r="CM52" s="91">
        <f t="shared" si="115"/>
        <v>0</v>
      </c>
      <c r="CN52" s="91">
        <f t="shared" si="78"/>
        <v>50000</v>
      </c>
      <c r="CO52" s="91">
        <f t="shared" si="78"/>
        <v>196400</v>
      </c>
      <c r="CP52" s="91">
        <f t="shared" si="78"/>
        <v>196400</v>
      </c>
      <c r="CQ52" s="91">
        <f t="shared" si="78"/>
        <v>146400</v>
      </c>
    </row>
    <row r="53" spans="1:95" ht="16.5" outlineLevel="1" x14ac:dyDescent="0.3">
      <c r="A53" s="9"/>
      <c r="B53" s="28" t="s">
        <v>64</v>
      </c>
      <c r="C53" s="168"/>
      <c r="D53" s="18">
        <v>22071</v>
      </c>
      <c r="E53" s="43">
        <v>22071</v>
      </c>
      <c r="F53" s="170">
        <f>D53-C53</f>
        <v>22071</v>
      </c>
      <c r="G53" s="83">
        <v>12500</v>
      </c>
      <c r="H53" s="18">
        <v>4763.96</v>
      </c>
      <c r="I53" s="18">
        <f>3053+1710.96</f>
        <v>4763.96</v>
      </c>
      <c r="J53" s="19">
        <f>H53-G53</f>
        <v>-7736.04</v>
      </c>
      <c r="K53" s="17">
        <v>12500</v>
      </c>
      <c r="L53" s="18">
        <v>7627.17</v>
      </c>
      <c r="M53" s="43">
        <v>7627.17</v>
      </c>
      <c r="N53" s="19">
        <f t="shared" si="72"/>
        <v>-4872.83</v>
      </c>
      <c r="O53" s="17">
        <f>C53+G53+K53</f>
        <v>25000</v>
      </c>
      <c r="P53" s="43">
        <f t="shared" si="108"/>
        <v>34462.130000000005</v>
      </c>
      <c r="Q53" s="43">
        <f t="shared" si="108"/>
        <v>34462.130000000005</v>
      </c>
      <c r="R53" s="19">
        <f>P53-O53</f>
        <v>9462.1300000000047</v>
      </c>
      <c r="S53" s="17"/>
      <c r="T53" s="18"/>
      <c r="U53" s="18"/>
      <c r="V53" s="19">
        <f>T53-S53</f>
        <v>0</v>
      </c>
      <c r="W53" s="17"/>
      <c r="X53" s="18"/>
      <c r="Y53" s="19"/>
      <c r="Z53" s="18">
        <f>X53-W53</f>
        <v>0</v>
      </c>
      <c r="AA53" s="83"/>
      <c r="AB53" s="18">
        <v>18148.89</v>
      </c>
      <c r="AC53" s="18">
        <f>18073.84+75.05</f>
        <v>18148.89</v>
      </c>
      <c r="AD53" s="19">
        <f>AB53-AA53</f>
        <v>18148.89</v>
      </c>
      <c r="AE53" s="17">
        <f t="shared" si="109"/>
        <v>0</v>
      </c>
      <c r="AF53" s="18">
        <f t="shared" si="109"/>
        <v>18148.89</v>
      </c>
      <c r="AG53" s="18">
        <f t="shared" si="109"/>
        <v>18148.89</v>
      </c>
      <c r="AH53" s="19">
        <f>AF53-AE53</f>
        <v>18148.89</v>
      </c>
      <c r="AI53" s="17">
        <f t="shared" si="110"/>
        <v>25000</v>
      </c>
      <c r="AJ53" s="18">
        <f t="shared" si="110"/>
        <v>52611.020000000004</v>
      </c>
      <c r="AK53" s="18">
        <f t="shared" si="110"/>
        <v>52611.020000000004</v>
      </c>
      <c r="AL53" s="19">
        <f>AJ53-AI53</f>
        <v>27611.020000000004</v>
      </c>
      <c r="AM53" s="17"/>
      <c r="AN53" s="18"/>
      <c r="AO53" s="18"/>
      <c r="AP53" s="20">
        <f>AN53-AM53</f>
        <v>0</v>
      </c>
      <c r="AQ53" s="17"/>
      <c r="AR53" s="18">
        <v>3888.98</v>
      </c>
      <c r="AS53" s="18">
        <v>3888.98</v>
      </c>
      <c r="AT53" s="20">
        <f>AR53-AQ53</f>
        <v>3888.98</v>
      </c>
      <c r="AU53" s="17"/>
      <c r="AV53" s="18">
        <v>4073.2</v>
      </c>
      <c r="AW53" s="43">
        <v>4073.2</v>
      </c>
      <c r="AX53" s="20">
        <f>AV53-AU53</f>
        <v>4073.2</v>
      </c>
      <c r="AY53" s="17">
        <f t="shared" si="111"/>
        <v>0</v>
      </c>
      <c r="AZ53" s="18">
        <f t="shared" si="111"/>
        <v>7962.18</v>
      </c>
      <c r="BA53" s="18">
        <f t="shared" si="111"/>
        <v>7962.18</v>
      </c>
      <c r="BB53" s="19">
        <f>AZ53-AY53</f>
        <v>7962.18</v>
      </c>
      <c r="BC53" s="190">
        <f t="shared" si="112"/>
        <v>25000</v>
      </c>
      <c r="BD53" s="84">
        <f t="shared" si="112"/>
        <v>60573.200000000004</v>
      </c>
      <c r="BE53" s="84">
        <f t="shared" si="112"/>
        <v>60573.200000000004</v>
      </c>
      <c r="BF53" s="170">
        <f>BD53-BC53</f>
        <v>35573.200000000004</v>
      </c>
      <c r="BG53" s="83"/>
      <c r="BH53" s="18">
        <v>10926.8</v>
      </c>
      <c r="BI53" s="18">
        <v>10926.8</v>
      </c>
      <c r="BJ53" s="41">
        <f>BH53-BG53</f>
        <v>10926.8</v>
      </c>
      <c r="BK53" s="17"/>
      <c r="BL53" s="18"/>
      <c r="BM53" s="18"/>
      <c r="BN53" s="41">
        <f>BL53-BK53</f>
        <v>0</v>
      </c>
      <c r="BO53" s="17"/>
      <c r="BP53" s="18"/>
      <c r="BQ53" s="18"/>
      <c r="BR53" s="41">
        <f>BP53-BO53</f>
        <v>0</v>
      </c>
      <c r="BS53" s="17">
        <f t="shared" si="113"/>
        <v>0</v>
      </c>
      <c r="BT53" s="18">
        <f t="shared" si="113"/>
        <v>10926.8</v>
      </c>
      <c r="BU53" s="18">
        <f t="shared" si="113"/>
        <v>10926.8</v>
      </c>
      <c r="BV53" s="20">
        <f>BT53-BS53</f>
        <v>10926.8</v>
      </c>
      <c r="BW53" s="17">
        <f t="shared" si="114"/>
        <v>0</v>
      </c>
      <c r="BX53" s="18">
        <f t="shared" si="114"/>
        <v>18888.98</v>
      </c>
      <c r="BY53" s="18">
        <f t="shared" si="114"/>
        <v>18888.98</v>
      </c>
      <c r="BZ53" s="20">
        <f>BX53-BW53</f>
        <v>18888.98</v>
      </c>
      <c r="CA53" s="17">
        <f t="shared" ref="CA53:CB55" si="116">BW53+AI53</f>
        <v>25000</v>
      </c>
      <c r="CB53" s="18">
        <f t="shared" si="116"/>
        <v>71500</v>
      </c>
      <c r="CC53" s="18">
        <f>BY53+AK53</f>
        <v>71500</v>
      </c>
      <c r="CD53" s="20">
        <f>CB53-CA53</f>
        <v>46500</v>
      </c>
      <c r="CH53" s="3"/>
      <c r="CJ53" s="91">
        <f t="shared" si="115"/>
        <v>0</v>
      </c>
      <c r="CK53" s="91">
        <f t="shared" si="115"/>
        <v>10926.8</v>
      </c>
      <c r="CL53" s="91">
        <f t="shared" si="115"/>
        <v>10926.8</v>
      </c>
      <c r="CM53" s="91">
        <f t="shared" si="115"/>
        <v>10926.8</v>
      </c>
      <c r="CN53" s="91">
        <f t="shared" si="78"/>
        <v>25000</v>
      </c>
      <c r="CO53" s="91">
        <f t="shared" si="78"/>
        <v>71500</v>
      </c>
      <c r="CP53" s="91">
        <f t="shared" si="78"/>
        <v>71500</v>
      </c>
      <c r="CQ53" s="91">
        <f t="shared" si="78"/>
        <v>46500</v>
      </c>
    </row>
    <row r="54" spans="1:95" ht="16.5" outlineLevel="1" x14ac:dyDescent="0.3">
      <c r="A54" s="9"/>
      <c r="B54" s="28" t="s">
        <v>65</v>
      </c>
      <c r="C54" s="174"/>
      <c r="D54" s="18"/>
      <c r="E54" s="43"/>
      <c r="F54" s="170">
        <f>D54-C54</f>
        <v>0</v>
      </c>
      <c r="G54" s="83"/>
      <c r="H54" s="18">
        <v>4300</v>
      </c>
      <c r="I54" s="18">
        <v>4300</v>
      </c>
      <c r="J54" s="19">
        <f>H54-G54</f>
        <v>4300</v>
      </c>
      <c r="K54" s="17"/>
      <c r="L54" s="18"/>
      <c r="M54" s="43"/>
      <c r="N54" s="19">
        <f t="shared" si="72"/>
        <v>0</v>
      </c>
      <c r="O54" s="17">
        <f>C54+G54+K54</f>
        <v>0</v>
      </c>
      <c r="P54" s="43">
        <f t="shared" si="108"/>
        <v>4300</v>
      </c>
      <c r="Q54" s="43">
        <f t="shared" si="108"/>
        <v>4300</v>
      </c>
      <c r="R54" s="19">
        <f>P54-O54</f>
        <v>4300</v>
      </c>
      <c r="S54" s="17"/>
      <c r="T54" s="18"/>
      <c r="U54" s="18"/>
      <c r="V54" s="19">
        <f>T54-S54</f>
        <v>0</v>
      </c>
      <c r="W54" s="17"/>
      <c r="X54" s="18"/>
      <c r="Y54" s="19"/>
      <c r="Z54" s="18">
        <f>X54-W54</f>
        <v>0</v>
      </c>
      <c r="AA54" s="83"/>
      <c r="AB54" s="18"/>
      <c r="AC54" s="18"/>
      <c r="AD54" s="19">
        <f>AB54-AA54</f>
        <v>0</v>
      </c>
      <c r="AE54" s="17">
        <f t="shared" si="109"/>
        <v>0</v>
      </c>
      <c r="AF54" s="18">
        <f t="shared" si="109"/>
        <v>0</v>
      </c>
      <c r="AG54" s="18">
        <f t="shared" si="109"/>
        <v>0</v>
      </c>
      <c r="AH54" s="19">
        <f>AF54-AE54</f>
        <v>0</v>
      </c>
      <c r="AI54" s="17">
        <f t="shared" si="110"/>
        <v>0</v>
      </c>
      <c r="AJ54" s="18">
        <f t="shared" si="110"/>
        <v>4300</v>
      </c>
      <c r="AK54" s="18">
        <f t="shared" si="110"/>
        <v>4300</v>
      </c>
      <c r="AL54" s="19">
        <f>AJ54-AI54</f>
        <v>4300</v>
      </c>
      <c r="AM54" s="17">
        <v>12500</v>
      </c>
      <c r="AN54" s="18"/>
      <c r="AO54" s="18"/>
      <c r="AP54" s="20">
        <f>AN54-AM54</f>
        <v>-12500</v>
      </c>
      <c r="AQ54" s="17">
        <v>12500</v>
      </c>
      <c r="AR54" s="18"/>
      <c r="AS54" s="18"/>
      <c r="AT54" s="20">
        <f>AR54-AQ54</f>
        <v>-12500</v>
      </c>
      <c r="AU54" s="17">
        <v>12500</v>
      </c>
      <c r="AV54" s="18"/>
      <c r="AW54" s="43"/>
      <c r="AX54" s="20">
        <f>AV54-AU54</f>
        <v>-12500</v>
      </c>
      <c r="AY54" s="17">
        <f t="shared" si="111"/>
        <v>37500</v>
      </c>
      <c r="AZ54" s="18">
        <f t="shared" si="111"/>
        <v>0</v>
      </c>
      <c r="BA54" s="18">
        <f t="shared" si="111"/>
        <v>0</v>
      </c>
      <c r="BB54" s="19">
        <f>AZ54-AY54</f>
        <v>-37500</v>
      </c>
      <c r="BC54" s="190">
        <f t="shared" si="112"/>
        <v>37500</v>
      </c>
      <c r="BD54" s="84">
        <f t="shared" si="112"/>
        <v>4300</v>
      </c>
      <c r="BE54" s="84">
        <f t="shared" si="112"/>
        <v>4300</v>
      </c>
      <c r="BF54" s="170">
        <f>BD54-BC54</f>
        <v>-33200</v>
      </c>
      <c r="BG54" s="83">
        <v>12500</v>
      </c>
      <c r="BH54" s="18"/>
      <c r="BI54" s="18"/>
      <c r="BJ54" s="41">
        <f>BH54-BG54</f>
        <v>-12500</v>
      </c>
      <c r="BK54" s="17">
        <v>12500</v>
      </c>
      <c r="BL54" s="18"/>
      <c r="BM54" s="18"/>
      <c r="BN54" s="41">
        <f>BL54-BK54</f>
        <v>-12500</v>
      </c>
      <c r="BO54" s="17">
        <v>12500</v>
      </c>
      <c r="BP54" s="18"/>
      <c r="BQ54" s="18"/>
      <c r="BR54" s="41">
        <f>BP54-BO54</f>
        <v>-12500</v>
      </c>
      <c r="BS54" s="17">
        <f t="shared" si="113"/>
        <v>37500</v>
      </c>
      <c r="BT54" s="18">
        <f t="shared" si="113"/>
        <v>0</v>
      </c>
      <c r="BU54" s="18">
        <f t="shared" si="113"/>
        <v>0</v>
      </c>
      <c r="BV54" s="20">
        <f>BT54-BS54</f>
        <v>-37500</v>
      </c>
      <c r="BW54" s="17">
        <f t="shared" si="114"/>
        <v>75000</v>
      </c>
      <c r="BX54" s="18">
        <f t="shared" si="114"/>
        <v>0</v>
      </c>
      <c r="BY54" s="18">
        <f t="shared" si="114"/>
        <v>0</v>
      </c>
      <c r="BZ54" s="20">
        <f>BX54-BW54</f>
        <v>-75000</v>
      </c>
      <c r="CA54" s="17">
        <f t="shared" si="116"/>
        <v>75000</v>
      </c>
      <c r="CB54" s="18">
        <f t="shared" si="116"/>
        <v>4300</v>
      </c>
      <c r="CC54" s="18">
        <f>BY54+AK54</f>
        <v>4300</v>
      </c>
      <c r="CD54" s="20">
        <f>CB54-CA54</f>
        <v>-70700</v>
      </c>
      <c r="CH54" s="3"/>
      <c r="CJ54" s="91">
        <f t="shared" si="115"/>
        <v>37500</v>
      </c>
      <c r="CK54" s="91">
        <f t="shared" si="115"/>
        <v>0</v>
      </c>
      <c r="CL54" s="91">
        <f t="shared" si="115"/>
        <v>0</v>
      </c>
      <c r="CM54" s="91">
        <f t="shared" si="115"/>
        <v>-37500</v>
      </c>
      <c r="CN54" s="91">
        <f t="shared" si="78"/>
        <v>75000</v>
      </c>
      <c r="CO54" s="91">
        <f t="shared" si="78"/>
        <v>4300</v>
      </c>
      <c r="CP54" s="91">
        <f t="shared" si="78"/>
        <v>4300</v>
      </c>
      <c r="CQ54" s="91">
        <f t="shared" si="78"/>
        <v>-70700</v>
      </c>
    </row>
    <row r="55" spans="1:95" ht="22.5" customHeight="1" x14ac:dyDescent="0.3">
      <c r="A55" s="9"/>
      <c r="B55" s="123" t="s">
        <v>66</v>
      </c>
      <c r="C55" s="174">
        <v>50000</v>
      </c>
      <c r="D55" s="31">
        <f>2794+1735.3</f>
        <v>4529.3</v>
      </c>
      <c r="E55" s="95">
        <f>2794+1735.3</f>
        <v>4529.3</v>
      </c>
      <c r="F55" s="170">
        <f>D55-C55</f>
        <v>-45470.7</v>
      </c>
      <c r="G55" s="83">
        <v>50000</v>
      </c>
      <c r="H55" s="31">
        <f>6640</f>
        <v>6640</v>
      </c>
      <c r="I55" s="95">
        <f>6640-1710.96</f>
        <v>4929.04</v>
      </c>
      <c r="J55" s="19">
        <f>H55-G55</f>
        <v>-43360</v>
      </c>
      <c r="K55" s="17">
        <v>70000</v>
      </c>
      <c r="L55" s="31">
        <f>13784+593+1004.4+12422.5</f>
        <v>27803.9</v>
      </c>
      <c r="M55" s="95">
        <f>300000+9382.21+13730+6169.06+7323.4+12422.5-14250-136088-7627.17+72694.78</f>
        <v>263756.78000000003</v>
      </c>
      <c r="N55" s="19">
        <f t="shared" si="72"/>
        <v>-42196.1</v>
      </c>
      <c r="O55" s="95">
        <f t="shared" ref="O55" si="117">K55+G55+C55</f>
        <v>170000</v>
      </c>
      <c r="P55" s="95">
        <f t="shared" si="108"/>
        <v>38973.200000000004</v>
      </c>
      <c r="Q55" s="95">
        <f t="shared" si="108"/>
        <v>273215.12</v>
      </c>
      <c r="R55" s="30">
        <f>P55-O55</f>
        <v>-131026.79999999999</v>
      </c>
      <c r="S55" s="25">
        <v>50000</v>
      </c>
      <c r="T55" s="25">
        <f>9382.21+6180+2102.34</f>
        <v>17664.55</v>
      </c>
      <c r="U55" s="25">
        <f>43700+2102.34</f>
        <v>45802.34</v>
      </c>
      <c r="V55" s="30">
        <f>T55-S55</f>
        <v>-32335.45</v>
      </c>
      <c r="W55" s="25">
        <v>50000</v>
      </c>
      <c r="X55" s="25">
        <v>30200</v>
      </c>
      <c r="Y55" s="88"/>
      <c r="Z55" s="31">
        <f>X55-W55</f>
        <v>-19800</v>
      </c>
      <c r="AA55" s="89">
        <v>50000</v>
      </c>
      <c r="AB55" s="25">
        <f>22634.6+4876.59+32490.8-16500+70226</f>
        <v>113727.98999999999</v>
      </c>
      <c r="AC55" s="25">
        <f>8400+30000+37367.39+22634.6-16500-75.05-18073.84</f>
        <v>63753.099999999991</v>
      </c>
      <c r="AD55" s="30">
        <f>AB55-AA55</f>
        <v>63727.989999999991</v>
      </c>
      <c r="AE55" s="25">
        <f t="shared" si="109"/>
        <v>150000</v>
      </c>
      <c r="AF55" s="31">
        <f t="shared" si="109"/>
        <v>161592.53999999998</v>
      </c>
      <c r="AG55" s="31">
        <f t="shared" si="109"/>
        <v>109555.43999999999</v>
      </c>
      <c r="AH55" s="30">
        <f>AF55-AE55</f>
        <v>11592.539999999979</v>
      </c>
      <c r="AI55" s="25">
        <f t="shared" si="110"/>
        <v>320000</v>
      </c>
      <c r="AJ55" s="31">
        <f t="shared" si="110"/>
        <v>200565.74</v>
      </c>
      <c r="AK55" s="31">
        <f t="shared" si="110"/>
        <v>382770.56</v>
      </c>
      <c r="AL55" s="30">
        <f>AJ55-AI55</f>
        <v>-119434.26000000001</v>
      </c>
      <c r="AM55" s="25">
        <v>50000</v>
      </c>
      <c r="AN55" s="25">
        <f>25061.7+33000+6121.9+34500+2485.2+3220+13954.6-11034</f>
        <v>107309.40000000001</v>
      </c>
      <c r="AO55" s="25">
        <f>50000+67500+2485.2+34200+25061.7+7641.29+3220+13954.6-11034-106532</f>
        <v>86496.790000000037</v>
      </c>
      <c r="AP55" s="32">
        <f>AN55-AM55</f>
        <v>57309.400000000009</v>
      </c>
      <c r="AQ55" s="25">
        <v>50000</v>
      </c>
      <c r="AR55" s="25">
        <f>961.56+1520+34200+20163+5000</f>
        <v>61844.56</v>
      </c>
      <c r="AS55" s="25">
        <f>1995+7882.15+1835.8+34125.5+5000+900-3888.98</f>
        <v>47849.469999999994</v>
      </c>
      <c r="AT55" s="32">
        <f>AR55-AQ55</f>
        <v>11844.559999999998</v>
      </c>
      <c r="AU55" s="25">
        <v>50000</v>
      </c>
      <c r="AV55" s="25">
        <f>7532.7+7228.76+2783.1+3264+91000</f>
        <v>111808.56</v>
      </c>
      <c r="AW55" s="90">
        <f>100000+13275.86+7532.7-4073.2</f>
        <v>116735.36</v>
      </c>
      <c r="AX55" s="32">
        <f>AV55-AU55</f>
        <v>61808.56</v>
      </c>
      <c r="AY55" s="25">
        <f t="shared" si="111"/>
        <v>150000</v>
      </c>
      <c r="AZ55" s="31">
        <f t="shared" si="111"/>
        <v>280962.52</v>
      </c>
      <c r="BA55" s="31">
        <f t="shared" si="111"/>
        <v>251081.62000000005</v>
      </c>
      <c r="BB55" s="30">
        <f>AZ55-AY55</f>
        <v>130962.52000000002</v>
      </c>
      <c r="BC55" s="191">
        <f t="shared" si="112"/>
        <v>470000</v>
      </c>
      <c r="BD55" s="96">
        <f t="shared" si="112"/>
        <v>481528.26</v>
      </c>
      <c r="BE55" s="96">
        <f t="shared" si="112"/>
        <v>633852.18000000005</v>
      </c>
      <c r="BF55" s="178">
        <f>BD55-BC55</f>
        <v>11528.260000000009</v>
      </c>
      <c r="BG55" s="89">
        <v>67650</v>
      </c>
      <c r="BH55" s="25">
        <f>4900+14671+23584+20591.29+8505.5+177766+76352</f>
        <v>326369.79000000004</v>
      </c>
      <c r="BI55" s="25">
        <f>222110+30000+73357+34271.79+4900-10926.8</f>
        <v>353711.99</v>
      </c>
      <c r="BJ55" s="27">
        <f>BH55-BG55</f>
        <v>258719.79000000004</v>
      </c>
      <c r="BK55" s="25"/>
      <c r="BL55" s="25">
        <f>249600+133023+40800+51000</f>
        <v>474423</v>
      </c>
      <c r="BM55" s="25">
        <f>201557+69600+223760+8903.34+11860.65</f>
        <v>515680.99000000005</v>
      </c>
      <c r="BN55" s="27">
        <f>BL55-BK55</f>
        <v>474423</v>
      </c>
      <c r="BO55" s="25">
        <f>BO57+BO58+BO59+BO60+BO61+BO62</f>
        <v>0</v>
      </c>
      <c r="BP55" s="25">
        <f>17048.38+3580.28+2277+4253+34686.9+83940+1321.86+10757.96+40014+15000.52-8640</f>
        <v>204239.89999999997</v>
      </c>
      <c r="BQ55" s="25">
        <f>40014+10757.96+15000.52+5574.86+40544.18+17048.38</f>
        <v>128939.9</v>
      </c>
      <c r="BR55" s="41">
        <f>BP55-BO55</f>
        <v>204239.89999999997</v>
      </c>
      <c r="BS55" s="17">
        <f t="shared" si="113"/>
        <v>67650</v>
      </c>
      <c r="BT55" s="18">
        <f t="shared" si="113"/>
        <v>1005032.69</v>
      </c>
      <c r="BU55" s="18">
        <f t="shared" si="113"/>
        <v>998332.88</v>
      </c>
      <c r="BV55" s="20">
        <f>BT55-BS55</f>
        <v>937382.69</v>
      </c>
      <c r="BW55" s="17">
        <f t="shared" si="114"/>
        <v>217650</v>
      </c>
      <c r="BX55" s="18">
        <f t="shared" si="114"/>
        <v>1285995.21</v>
      </c>
      <c r="BY55" s="18">
        <f t="shared" si="114"/>
        <v>1249414.5</v>
      </c>
      <c r="BZ55" s="20">
        <f>BX55-BW55</f>
        <v>1068345.21</v>
      </c>
      <c r="CA55" s="17">
        <f t="shared" si="116"/>
        <v>537650</v>
      </c>
      <c r="CB55" s="18">
        <f t="shared" si="116"/>
        <v>1486560.95</v>
      </c>
      <c r="CC55" s="18">
        <f>BY55+AK55</f>
        <v>1632185.06</v>
      </c>
      <c r="CD55" s="20">
        <f>CB55-CA55</f>
        <v>948910.95</v>
      </c>
      <c r="CH55" s="3"/>
      <c r="CJ55" s="208">
        <f>SUM(CJ56:CJ62)</f>
        <v>0</v>
      </c>
      <c r="CK55" s="208">
        <f>SUM(CK56:CK62)</f>
        <v>0</v>
      </c>
      <c r="CL55" s="208">
        <f>SUM(CL56:CL62)</f>
        <v>0</v>
      </c>
      <c r="CM55" s="208">
        <f>SUM(CM56:CM62)</f>
        <v>0</v>
      </c>
      <c r="CN55" s="208">
        <f t="shared" si="78"/>
        <v>470000</v>
      </c>
      <c r="CO55" s="208">
        <f t="shared" si="78"/>
        <v>481528.26</v>
      </c>
      <c r="CP55" s="208">
        <f t="shared" si="78"/>
        <v>633852.18000000005</v>
      </c>
      <c r="CQ55" s="208">
        <f t="shared" si="78"/>
        <v>11528.260000000009</v>
      </c>
    </row>
    <row r="56" spans="1:95" ht="22.5" customHeight="1" x14ac:dyDescent="0.3">
      <c r="A56" s="9"/>
      <c r="B56" s="205" t="s">
        <v>153</v>
      </c>
      <c r="C56" s="174"/>
      <c r="D56" s="31"/>
      <c r="E56" s="95"/>
      <c r="F56" s="170"/>
      <c r="G56" s="83"/>
      <c r="H56" s="31"/>
      <c r="I56" s="95"/>
      <c r="J56" s="19">
        <f>H56-G56</f>
        <v>0</v>
      </c>
      <c r="K56" s="17"/>
      <c r="L56" s="31"/>
      <c r="M56" s="95"/>
      <c r="N56" s="19"/>
      <c r="O56" s="25"/>
      <c r="P56" s="95"/>
      <c r="Q56" s="95"/>
      <c r="R56" s="19"/>
      <c r="S56" s="25"/>
      <c r="T56" s="25"/>
      <c r="U56" s="25"/>
      <c r="V56" s="30"/>
      <c r="W56" s="25"/>
      <c r="X56" s="25"/>
      <c r="Y56" s="88"/>
      <c r="Z56" s="31"/>
      <c r="AA56" s="89"/>
      <c r="AB56" s="25"/>
      <c r="AC56" s="25"/>
      <c r="AD56" s="30"/>
      <c r="AE56" s="25"/>
      <c r="AF56" s="31"/>
      <c r="AG56" s="31"/>
      <c r="AH56" s="30"/>
      <c r="AI56" s="25"/>
      <c r="AJ56" s="31"/>
      <c r="AK56" s="31"/>
      <c r="AL56" s="30"/>
      <c r="AM56" s="25"/>
      <c r="AN56" s="25"/>
      <c r="AO56" s="25"/>
      <c r="AP56" s="32"/>
      <c r="AQ56" s="25"/>
      <c r="AR56" s="25"/>
      <c r="AS56" s="25"/>
      <c r="AT56" s="32"/>
      <c r="AU56" s="25"/>
      <c r="AV56" s="25"/>
      <c r="AW56" s="90"/>
      <c r="AX56" s="32"/>
      <c r="AY56" s="25"/>
      <c r="AZ56" s="31"/>
      <c r="BA56" s="31"/>
      <c r="BB56" s="30"/>
      <c r="BC56" s="191"/>
      <c r="BD56" s="96"/>
      <c r="BE56" s="96"/>
      <c r="BF56" s="178"/>
      <c r="BG56" s="89"/>
      <c r="BH56" s="25"/>
      <c r="BI56" s="25"/>
      <c r="BJ56" s="27"/>
      <c r="BK56" s="25"/>
      <c r="BL56" s="25"/>
      <c r="BM56" s="25"/>
      <c r="BN56" s="27"/>
      <c r="BO56" s="25"/>
      <c r="BP56" s="25"/>
      <c r="BQ56" s="25"/>
      <c r="BR56" s="41"/>
      <c r="BS56" s="17"/>
      <c r="BT56" s="18"/>
      <c r="BU56" s="18"/>
      <c r="BV56" s="20"/>
      <c r="BW56" s="17"/>
      <c r="BX56" s="18"/>
      <c r="BY56" s="18"/>
      <c r="BZ56" s="20"/>
      <c r="CA56" s="17"/>
      <c r="CB56" s="18"/>
      <c r="CC56" s="18"/>
      <c r="CD56" s="20"/>
      <c r="CH56" s="3"/>
      <c r="CJ56" s="91">
        <f t="shared" ref="CJ56:CM62" si="118">BG56+BK56+BO56</f>
        <v>0</v>
      </c>
      <c r="CK56" s="91">
        <f t="shared" si="118"/>
        <v>0</v>
      </c>
      <c r="CL56" s="91">
        <f t="shared" si="118"/>
        <v>0</v>
      </c>
      <c r="CM56" s="91">
        <f t="shared" si="118"/>
        <v>0</v>
      </c>
      <c r="CN56" s="91">
        <f t="shared" si="78"/>
        <v>0</v>
      </c>
      <c r="CO56" s="91">
        <f t="shared" si="78"/>
        <v>0</v>
      </c>
      <c r="CP56" s="91">
        <f t="shared" si="78"/>
        <v>0</v>
      </c>
      <c r="CQ56" s="91">
        <f t="shared" si="78"/>
        <v>0</v>
      </c>
    </row>
    <row r="57" spans="1:95" ht="17.25" customHeight="1" outlineLevel="2" x14ac:dyDescent="0.3">
      <c r="A57" s="9"/>
      <c r="B57" s="28" t="s">
        <v>67</v>
      </c>
      <c r="C57" s="168"/>
      <c r="D57" s="18"/>
      <c r="E57" s="43"/>
      <c r="F57" s="170">
        <f t="shared" ref="F57:F62" si="119">D57-C57</f>
        <v>0</v>
      </c>
      <c r="G57" s="83"/>
      <c r="H57" s="119"/>
      <c r="I57" s="18"/>
      <c r="J57" s="19">
        <f t="shared" ref="J57:J62" si="120">H57-G57</f>
        <v>0</v>
      </c>
      <c r="K57" s="17"/>
      <c r="L57" s="119"/>
      <c r="M57" s="18"/>
      <c r="N57" s="19">
        <f t="shared" ref="N57:N62" si="121">L57-K57</f>
        <v>0</v>
      </c>
      <c r="O57" s="17">
        <f t="shared" ref="O57:O62" si="122">C57+G57+K57</f>
        <v>0</v>
      </c>
      <c r="P57" s="43">
        <f t="shared" ref="P57:Q62" si="123">L57+H57+D57</f>
        <v>0</v>
      </c>
      <c r="Q57" s="43">
        <f t="shared" si="123"/>
        <v>0</v>
      </c>
      <c r="R57" s="19">
        <f t="shared" ref="R57:R62" si="124">P57-O57</f>
        <v>0</v>
      </c>
      <c r="S57" s="17"/>
      <c r="T57" s="119"/>
      <c r="U57" s="18"/>
      <c r="V57" s="19">
        <f t="shared" ref="V57:V62" si="125">T57-S57</f>
        <v>0</v>
      </c>
      <c r="W57" s="17"/>
      <c r="X57" s="119"/>
      <c r="Y57" s="19"/>
      <c r="Z57" s="18">
        <f t="shared" ref="Z57:Z62" si="126">X57-W57</f>
        <v>0</v>
      </c>
      <c r="AA57" s="83"/>
      <c r="AB57" s="119"/>
      <c r="AC57" s="18"/>
      <c r="AD57" s="19">
        <f t="shared" ref="AD57:AD62" si="127">AB57-AA57</f>
        <v>0</v>
      </c>
      <c r="AE57" s="17">
        <f t="shared" ref="AE57:AG62" si="128">S57+W57+AA57</f>
        <v>0</v>
      </c>
      <c r="AF57" s="18">
        <f t="shared" si="128"/>
        <v>0</v>
      </c>
      <c r="AG57" s="18">
        <f t="shared" si="128"/>
        <v>0</v>
      </c>
      <c r="AH57" s="19">
        <f t="shared" ref="AH57:AH62" si="129">AF57-AE57</f>
        <v>0</v>
      </c>
      <c r="AI57" s="17">
        <f t="shared" ref="AI57:AK62" si="130">AE57+O57</f>
        <v>0</v>
      </c>
      <c r="AJ57" s="18">
        <f t="shared" si="130"/>
        <v>0</v>
      </c>
      <c r="AK57" s="18">
        <f t="shared" si="130"/>
        <v>0</v>
      </c>
      <c r="AL57" s="19">
        <f t="shared" ref="AL57:AL62" si="131">AJ57-AI57</f>
        <v>0</v>
      </c>
      <c r="AM57" s="17"/>
      <c r="AN57" s="119"/>
      <c r="AO57" s="18"/>
      <c r="AP57" s="20">
        <f t="shared" ref="AP57:AP62" si="132">AN57-AM57</f>
        <v>0</v>
      </c>
      <c r="AQ57" s="17"/>
      <c r="AR57" s="119"/>
      <c r="AS57" s="18"/>
      <c r="AT57" s="20">
        <f t="shared" ref="AT57:AT62" si="133">AR57-AQ57</f>
        <v>0</v>
      </c>
      <c r="AU57" s="17"/>
      <c r="AV57" s="119"/>
      <c r="AW57" s="43"/>
      <c r="AX57" s="20">
        <f t="shared" ref="AX57:AX62" si="134">AV57-AU57</f>
        <v>0</v>
      </c>
      <c r="AY57" s="17">
        <f t="shared" ref="AY57:BA62" si="135">AM57+AQ57+AU57</f>
        <v>0</v>
      </c>
      <c r="AZ57" s="18">
        <f t="shared" si="135"/>
        <v>0</v>
      </c>
      <c r="BA57" s="18">
        <f t="shared" si="135"/>
        <v>0</v>
      </c>
      <c r="BB57" s="19">
        <f t="shared" ref="BB57:BB62" si="136">AZ57-AY57</f>
        <v>0</v>
      </c>
      <c r="BC57" s="190">
        <f t="shared" ref="BC57:BE62" si="137">(AI57+AY57)</f>
        <v>0</v>
      </c>
      <c r="BD57" s="84">
        <f t="shared" si="137"/>
        <v>0</v>
      </c>
      <c r="BE57" s="84">
        <f t="shared" si="137"/>
        <v>0</v>
      </c>
      <c r="BF57" s="170">
        <f t="shared" ref="BF57:BF62" si="138">BD57-BC57</f>
        <v>0</v>
      </c>
      <c r="BG57" s="83"/>
      <c r="BH57" s="119"/>
      <c r="BI57" s="18"/>
      <c r="BJ57" s="27">
        <f t="shared" ref="BJ57:BJ62" si="139">BH57-BG57</f>
        <v>0</v>
      </c>
      <c r="BK57" s="17"/>
      <c r="BL57" s="119"/>
      <c r="BM57" s="18"/>
      <c r="BN57" s="27">
        <f t="shared" ref="BN57:BN62" si="140">BL57-BK57</f>
        <v>0</v>
      </c>
      <c r="BO57" s="17"/>
      <c r="BP57" s="119"/>
      <c r="BQ57" s="18"/>
      <c r="BR57" s="41">
        <f t="shared" ref="BR57:BR62" si="141">BP57-BO57</f>
        <v>0</v>
      </c>
      <c r="BS57" s="17">
        <f t="shared" ref="BS57:BU62" si="142">BG57+BK57+BO57</f>
        <v>0</v>
      </c>
      <c r="BT57" s="18">
        <f t="shared" si="142"/>
        <v>0</v>
      </c>
      <c r="BU57" s="18">
        <f t="shared" si="142"/>
        <v>0</v>
      </c>
      <c r="BV57" s="20">
        <f t="shared" ref="BV57:BV62" si="143">BT57-BS57</f>
        <v>0</v>
      </c>
      <c r="BW57" s="17">
        <f t="shared" ref="BW57:BY62" si="144">BS57+AY57</f>
        <v>0</v>
      </c>
      <c r="BX57" s="18">
        <f t="shared" si="144"/>
        <v>0</v>
      </c>
      <c r="BY57" s="18">
        <f t="shared" si="144"/>
        <v>0</v>
      </c>
      <c r="BZ57" s="20">
        <f t="shared" ref="BZ57:BZ62" si="145">BX57-BW57</f>
        <v>0</v>
      </c>
      <c r="CA57" s="17">
        <f t="shared" ref="CA57:CC62" si="146">BW57+AI57</f>
        <v>0</v>
      </c>
      <c r="CB57" s="18">
        <f t="shared" si="146"/>
        <v>0</v>
      </c>
      <c r="CC57" s="18">
        <f t="shared" si="146"/>
        <v>0</v>
      </c>
      <c r="CD57" s="20">
        <f t="shared" ref="CD57:CD62" si="147">CB57-CA57</f>
        <v>0</v>
      </c>
      <c r="CH57" s="3"/>
      <c r="CJ57" s="91">
        <f t="shared" si="118"/>
        <v>0</v>
      </c>
      <c r="CK57" s="91">
        <f t="shared" si="118"/>
        <v>0</v>
      </c>
      <c r="CL57" s="91">
        <f t="shared" si="118"/>
        <v>0</v>
      </c>
      <c r="CM57" s="91">
        <f t="shared" si="118"/>
        <v>0</v>
      </c>
      <c r="CN57" s="91">
        <f t="shared" si="78"/>
        <v>0</v>
      </c>
      <c r="CO57" s="91">
        <f t="shared" si="78"/>
        <v>0</v>
      </c>
      <c r="CP57" s="91">
        <f t="shared" si="78"/>
        <v>0</v>
      </c>
      <c r="CQ57" s="91">
        <f t="shared" si="78"/>
        <v>0</v>
      </c>
    </row>
    <row r="58" spans="1:95" ht="22.5" customHeight="1" outlineLevel="2" x14ac:dyDescent="0.3">
      <c r="A58" s="9"/>
      <c r="B58" s="28" t="s">
        <v>68</v>
      </c>
      <c r="C58" s="168"/>
      <c r="D58" s="18"/>
      <c r="E58" s="43"/>
      <c r="F58" s="170">
        <f t="shared" si="119"/>
        <v>0</v>
      </c>
      <c r="G58" s="83"/>
      <c r="H58" s="119"/>
      <c r="I58" s="18"/>
      <c r="J58" s="19">
        <f t="shared" si="120"/>
        <v>0</v>
      </c>
      <c r="K58" s="17"/>
      <c r="L58" s="119"/>
      <c r="M58" s="18"/>
      <c r="N58" s="19">
        <f t="shared" si="121"/>
        <v>0</v>
      </c>
      <c r="O58" s="17">
        <f t="shared" si="122"/>
        <v>0</v>
      </c>
      <c r="P58" s="43">
        <f t="shared" si="123"/>
        <v>0</v>
      </c>
      <c r="Q58" s="43">
        <f t="shared" si="123"/>
        <v>0</v>
      </c>
      <c r="R58" s="19">
        <f t="shared" si="124"/>
        <v>0</v>
      </c>
      <c r="S58" s="17"/>
      <c r="T58" s="119"/>
      <c r="U58" s="18"/>
      <c r="V58" s="19">
        <f t="shared" si="125"/>
        <v>0</v>
      </c>
      <c r="W58" s="17"/>
      <c r="X58" s="119"/>
      <c r="Y58" s="19"/>
      <c r="Z58" s="18">
        <f t="shared" si="126"/>
        <v>0</v>
      </c>
      <c r="AA58" s="83"/>
      <c r="AB58" s="119"/>
      <c r="AC58" s="18"/>
      <c r="AD58" s="19">
        <f t="shared" si="127"/>
        <v>0</v>
      </c>
      <c r="AE58" s="17">
        <f t="shared" si="128"/>
        <v>0</v>
      </c>
      <c r="AF58" s="18">
        <f t="shared" si="128"/>
        <v>0</v>
      </c>
      <c r="AG58" s="18">
        <f t="shared" si="128"/>
        <v>0</v>
      </c>
      <c r="AH58" s="19">
        <f t="shared" si="129"/>
        <v>0</v>
      </c>
      <c r="AI58" s="17">
        <f t="shared" si="130"/>
        <v>0</v>
      </c>
      <c r="AJ58" s="18">
        <f t="shared" si="130"/>
        <v>0</v>
      </c>
      <c r="AK58" s="18">
        <f t="shared" si="130"/>
        <v>0</v>
      </c>
      <c r="AL58" s="19">
        <f t="shared" si="131"/>
        <v>0</v>
      </c>
      <c r="AM58" s="17"/>
      <c r="AN58" s="119"/>
      <c r="AO58" s="18"/>
      <c r="AP58" s="20">
        <f t="shared" si="132"/>
        <v>0</v>
      </c>
      <c r="AQ58" s="17"/>
      <c r="AR58" s="119"/>
      <c r="AS58" s="18"/>
      <c r="AT58" s="20">
        <f t="shared" si="133"/>
        <v>0</v>
      </c>
      <c r="AU58" s="17"/>
      <c r="AV58" s="119"/>
      <c r="AW58" s="43"/>
      <c r="AX58" s="20">
        <f t="shared" si="134"/>
        <v>0</v>
      </c>
      <c r="AY58" s="17">
        <f t="shared" si="135"/>
        <v>0</v>
      </c>
      <c r="AZ58" s="18">
        <f t="shared" si="135"/>
        <v>0</v>
      </c>
      <c r="BA58" s="18">
        <f t="shared" si="135"/>
        <v>0</v>
      </c>
      <c r="BB58" s="19">
        <f t="shared" si="136"/>
        <v>0</v>
      </c>
      <c r="BC58" s="190">
        <f t="shared" si="137"/>
        <v>0</v>
      </c>
      <c r="BD58" s="84">
        <f t="shared" si="137"/>
        <v>0</v>
      </c>
      <c r="BE58" s="84">
        <f t="shared" si="137"/>
        <v>0</v>
      </c>
      <c r="BF58" s="170">
        <f t="shared" si="138"/>
        <v>0</v>
      </c>
      <c r="BG58" s="83"/>
      <c r="BH58" s="119"/>
      <c r="BI58" s="18"/>
      <c r="BJ58" s="27">
        <f t="shared" si="139"/>
        <v>0</v>
      </c>
      <c r="BK58" s="17"/>
      <c r="BL58" s="119"/>
      <c r="BM58" s="18"/>
      <c r="BN58" s="27">
        <f t="shared" si="140"/>
        <v>0</v>
      </c>
      <c r="BO58" s="17"/>
      <c r="BP58" s="119"/>
      <c r="BQ58" s="18"/>
      <c r="BR58" s="41">
        <f t="shared" si="141"/>
        <v>0</v>
      </c>
      <c r="BS58" s="17">
        <f t="shared" si="142"/>
        <v>0</v>
      </c>
      <c r="BT58" s="18">
        <f t="shared" si="142"/>
        <v>0</v>
      </c>
      <c r="BU58" s="18">
        <f t="shared" si="142"/>
        <v>0</v>
      </c>
      <c r="BV58" s="20">
        <f t="shared" si="143"/>
        <v>0</v>
      </c>
      <c r="BW58" s="17">
        <f t="shared" si="144"/>
        <v>0</v>
      </c>
      <c r="BX58" s="18">
        <f t="shared" si="144"/>
        <v>0</v>
      </c>
      <c r="BY58" s="18">
        <f t="shared" si="144"/>
        <v>0</v>
      </c>
      <c r="BZ58" s="20">
        <f t="shared" si="145"/>
        <v>0</v>
      </c>
      <c r="CA58" s="17">
        <f t="shared" si="146"/>
        <v>0</v>
      </c>
      <c r="CB58" s="18">
        <f t="shared" si="146"/>
        <v>0</v>
      </c>
      <c r="CC58" s="18">
        <f t="shared" si="146"/>
        <v>0</v>
      </c>
      <c r="CD58" s="20">
        <f t="shared" si="147"/>
        <v>0</v>
      </c>
      <c r="CH58" s="3"/>
      <c r="CJ58" s="91">
        <f t="shared" si="118"/>
        <v>0</v>
      </c>
      <c r="CK58" s="91">
        <f t="shared" si="118"/>
        <v>0</v>
      </c>
      <c r="CL58" s="91">
        <f t="shared" si="118"/>
        <v>0</v>
      </c>
      <c r="CM58" s="91">
        <f t="shared" si="118"/>
        <v>0</v>
      </c>
      <c r="CN58" s="91">
        <f t="shared" si="78"/>
        <v>0</v>
      </c>
      <c r="CO58" s="91">
        <f t="shared" si="78"/>
        <v>0</v>
      </c>
      <c r="CP58" s="91">
        <f t="shared" si="78"/>
        <v>0</v>
      </c>
      <c r="CQ58" s="91">
        <f t="shared" si="78"/>
        <v>0</v>
      </c>
    </row>
    <row r="59" spans="1:95" ht="21" customHeight="1" outlineLevel="2" x14ac:dyDescent="0.3">
      <c r="A59" s="9"/>
      <c r="B59" s="28" t="s">
        <v>69</v>
      </c>
      <c r="C59" s="168"/>
      <c r="D59" s="18"/>
      <c r="E59" s="43"/>
      <c r="F59" s="170">
        <f t="shared" si="119"/>
        <v>0</v>
      </c>
      <c r="G59" s="83"/>
      <c r="H59" s="119"/>
      <c r="I59" s="18"/>
      <c r="J59" s="19">
        <f t="shared" si="120"/>
        <v>0</v>
      </c>
      <c r="K59" s="17"/>
      <c r="L59" s="119"/>
      <c r="M59" s="18"/>
      <c r="N59" s="19">
        <f t="shared" si="121"/>
        <v>0</v>
      </c>
      <c r="O59" s="17">
        <f t="shared" si="122"/>
        <v>0</v>
      </c>
      <c r="P59" s="43">
        <f t="shared" si="123"/>
        <v>0</v>
      </c>
      <c r="Q59" s="43">
        <f t="shared" si="123"/>
        <v>0</v>
      </c>
      <c r="R59" s="19">
        <f t="shared" si="124"/>
        <v>0</v>
      </c>
      <c r="S59" s="17"/>
      <c r="T59" s="119"/>
      <c r="U59" s="18"/>
      <c r="V59" s="19">
        <f t="shared" si="125"/>
        <v>0</v>
      </c>
      <c r="W59" s="17"/>
      <c r="X59" s="119"/>
      <c r="Y59" s="19"/>
      <c r="Z59" s="18">
        <f t="shared" si="126"/>
        <v>0</v>
      </c>
      <c r="AA59" s="83"/>
      <c r="AB59" s="119"/>
      <c r="AC59" s="18"/>
      <c r="AD59" s="19">
        <f t="shared" si="127"/>
        <v>0</v>
      </c>
      <c r="AE59" s="17">
        <f t="shared" si="128"/>
        <v>0</v>
      </c>
      <c r="AF59" s="18">
        <f t="shared" si="128"/>
        <v>0</v>
      </c>
      <c r="AG59" s="18">
        <f t="shared" si="128"/>
        <v>0</v>
      </c>
      <c r="AH59" s="19">
        <f t="shared" si="129"/>
        <v>0</v>
      </c>
      <c r="AI59" s="17">
        <f t="shared" si="130"/>
        <v>0</v>
      </c>
      <c r="AJ59" s="18">
        <f t="shared" si="130"/>
        <v>0</v>
      </c>
      <c r="AK59" s="18">
        <f t="shared" si="130"/>
        <v>0</v>
      </c>
      <c r="AL59" s="19">
        <f t="shared" si="131"/>
        <v>0</v>
      </c>
      <c r="AM59" s="17"/>
      <c r="AN59" s="119"/>
      <c r="AO59" s="18"/>
      <c r="AP59" s="20">
        <f t="shared" si="132"/>
        <v>0</v>
      </c>
      <c r="AQ59" s="17"/>
      <c r="AR59" s="119"/>
      <c r="AS59" s="18"/>
      <c r="AT59" s="20">
        <f t="shared" si="133"/>
        <v>0</v>
      </c>
      <c r="AU59" s="17"/>
      <c r="AV59" s="119"/>
      <c r="AW59" s="43"/>
      <c r="AX59" s="20">
        <f t="shared" si="134"/>
        <v>0</v>
      </c>
      <c r="AY59" s="17">
        <f t="shared" si="135"/>
        <v>0</v>
      </c>
      <c r="AZ59" s="18">
        <f t="shared" si="135"/>
        <v>0</v>
      </c>
      <c r="BA59" s="18">
        <f t="shared" si="135"/>
        <v>0</v>
      </c>
      <c r="BB59" s="19">
        <f t="shared" si="136"/>
        <v>0</v>
      </c>
      <c r="BC59" s="190">
        <f t="shared" si="137"/>
        <v>0</v>
      </c>
      <c r="BD59" s="84">
        <f t="shared" si="137"/>
        <v>0</v>
      </c>
      <c r="BE59" s="84">
        <f t="shared" si="137"/>
        <v>0</v>
      </c>
      <c r="BF59" s="170">
        <f t="shared" si="138"/>
        <v>0</v>
      </c>
      <c r="BG59" s="83"/>
      <c r="BH59" s="119"/>
      <c r="BI59" s="18"/>
      <c r="BJ59" s="27">
        <f t="shared" si="139"/>
        <v>0</v>
      </c>
      <c r="BK59" s="17"/>
      <c r="BL59" s="119"/>
      <c r="BM59" s="18"/>
      <c r="BN59" s="27">
        <f t="shared" si="140"/>
        <v>0</v>
      </c>
      <c r="BO59" s="17"/>
      <c r="BP59" s="119"/>
      <c r="BQ59" s="18"/>
      <c r="BR59" s="41">
        <f t="shared" si="141"/>
        <v>0</v>
      </c>
      <c r="BS59" s="17">
        <f t="shared" si="142"/>
        <v>0</v>
      </c>
      <c r="BT59" s="18">
        <f t="shared" si="142"/>
        <v>0</v>
      </c>
      <c r="BU59" s="18">
        <f t="shared" si="142"/>
        <v>0</v>
      </c>
      <c r="BV59" s="20">
        <f t="shared" si="143"/>
        <v>0</v>
      </c>
      <c r="BW59" s="17">
        <f t="shared" si="144"/>
        <v>0</v>
      </c>
      <c r="BX59" s="18">
        <f t="shared" si="144"/>
        <v>0</v>
      </c>
      <c r="BY59" s="18">
        <f t="shared" si="144"/>
        <v>0</v>
      </c>
      <c r="BZ59" s="20">
        <f t="shared" si="145"/>
        <v>0</v>
      </c>
      <c r="CA59" s="17">
        <f t="shared" si="146"/>
        <v>0</v>
      </c>
      <c r="CB59" s="18">
        <f t="shared" si="146"/>
        <v>0</v>
      </c>
      <c r="CC59" s="18">
        <f t="shared" si="146"/>
        <v>0</v>
      </c>
      <c r="CD59" s="20">
        <f t="shared" si="147"/>
        <v>0</v>
      </c>
      <c r="CH59" s="3"/>
      <c r="CJ59" s="91">
        <f t="shared" si="118"/>
        <v>0</v>
      </c>
      <c r="CK59" s="91">
        <f t="shared" si="118"/>
        <v>0</v>
      </c>
      <c r="CL59" s="91">
        <f t="shared" si="118"/>
        <v>0</v>
      </c>
      <c r="CM59" s="91">
        <f t="shared" si="118"/>
        <v>0</v>
      </c>
      <c r="CN59" s="91">
        <f t="shared" si="78"/>
        <v>0</v>
      </c>
      <c r="CO59" s="91">
        <f t="shared" si="78"/>
        <v>0</v>
      </c>
      <c r="CP59" s="91">
        <f t="shared" si="78"/>
        <v>0</v>
      </c>
      <c r="CQ59" s="91">
        <f t="shared" si="78"/>
        <v>0</v>
      </c>
    </row>
    <row r="60" spans="1:95" ht="17.25" customHeight="1" outlineLevel="2" x14ac:dyDescent="0.3">
      <c r="A60" s="9"/>
      <c r="B60" s="28" t="s">
        <v>70</v>
      </c>
      <c r="C60" s="168"/>
      <c r="D60" s="18"/>
      <c r="E60" s="43"/>
      <c r="F60" s="170">
        <f t="shared" si="119"/>
        <v>0</v>
      </c>
      <c r="G60" s="83"/>
      <c r="H60" s="119"/>
      <c r="I60" s="18"/>
      <c r="J60" s="19">
        <f t="shared" si="120"/>
        <v>0</v>
      </c>
      <c r="K60" s="17"/>
      <c r="L60" s="119"/>
      <c r="M60" s="18"/>
      <c r="N60" s="19">
        <f t="shared" si="121"/>
        <v>0</v>
      </c>
      <c r="O60" s="17">
        <f t="shared" si="122"/>
        <v>0</v>
      </c>
      <c r="P60" s="43">
        <f t="shared" si="123"/>
        <v>0</v>
      </c>
      <c r="Q60" s="43">
        <f t="shared" si="123"/>
        <v>0</v>
      </c>
      <c r="R60" s="19">
        <f t="shared" si="124"/>
        <v>0</v>
      </c>
      <c r="S60" s="17"/>
      <c r="T60" s="119"/>
      <c r="U60" s="18"/>
      <c r="V60" s="19">
        <f t="shared" si="125"/>
        <v>0</v>
      </c>
      <c r="W60" s="17"/>
      <c r="X60" s="119"/>
      <c r="Y60" s="19"/>
      <c r="Z60" s="18">
        <f t="shared" si="126"/>
        <v>0</v>
      </c>
      <c r="AA60" s="83"/>
      <c r="AB60" s="119"/>
      <c r="AC60" s="18"/>
      <c r="AD60" s="19">
        <f t="shared" si="127"/>
        <v>0</v>
      </c>
      <c r="AE60" s="17">
        <f t="shared" si="128"/>
        <v>0</v>
      </c>
      <c r="AF60" s="18">
        <f t="shared" si="128"/>
        <v>0</v>
      </c>
      <c r="AG60" s="18">
        <f t="shared" si="128"/>
        <v>0</v>
      </c>
      <c r="AH60" s="19">
        <f t="shared" si="129"/>
        <v>0</v>
      </c>
      <c r="AI60" s="17">
        <f t="shared" si="130"/>
        <v>0</v>
      </c>
      <c r="AJ60" s="18">
        <f t="shared" si="130"/>
        <v>0</v>
      </c>
      <c r="AK60" s="18">
        <f t="shared" si="130"/>
        <v>0</v>
      </c>
      <c r="AL60" s="19">
        <f t="shared" si="131"/>
        <v>0</v>
      </c>
      <c r="AM60" s="17"/>
      <c r="AN60" s="119"/>
      <c r="AO60" s="18"/>
      <c r="AP60" s="20">
        <f t="shared" si="132"/>
        <v>0</v>
      </c>
      <c r="AQ60" s="17"/>
      <c r="AR60" s="119"/>
      <c r="AS60" s="18"/>
      <c r="AT60" s="20">
        <f t="shared" si="133"/>
        <v>0</v>
      </c>
      <c r="AU60" s="17"/>
      <c r="AV60" s="119"/>
      <c r="AW60" s="43"/>
      <c r="AX60" s="20">
        <f t="shared" si="134"/>
        <v>0</v>
      </c>
      <c r="AY60" s="17">
        <f t="shared" si="135"/>
        <v>0</v>
      </c>
      <c r="AZ60" s="18">
        <f t="shared" si="135"/>
        <v>0</v>
      </c>
      <c r="BA60" s="18">
        <f t="shared" si="135"/>
        <v>0</v>
      </c>
      <c r="BB60" s="19">
        <f t="shared" si="136"/>
        <v>0</v>
      </c>
      <c r="BC60" s="190">
        <f t="shared" si="137"/>
        <v>0</v>
      </c>
      <c r="BD60" s="84">
        <f t="shared" si="137"/>
        <v>0</v>
      </c>
      <c r="BE60" s="84">
        <f t="shared" si="137"/>
        <v>0</v>
      </c>
      <c r="BF60" s="170">
        <f t="shared" si="138"/>
        <v>0</v>
      </c>
      <c r="BG60" s="83"/>
      <c r="BH60" s="119"/>
      <c r="BI60" s="18"/>
      <c r="BJ60" s="27">
        <f t="shared" si="139"/>
        <v>0</v>
      </c>
      <c r="BK60" s="17"/>
      <c r="BL60" s="119"/>
      <c r="BM60" s="18"/>
      <c r="BN60" s="27">
        <f t="shared" si="140"/>
        <v>0</v>
      </c>
      <c r="BO60" s="17"/>
      <c r="BP60" s="119"/>
      <c r="BQ60" s="18"/>
      <c r="BR60" s="41">
        <f t="shared" si="141"/>
        <v>0</v>
      </c>
      <c r="BS60" s="17">
        <f t="shared" si="142"/>
        <v>0</v>
      </c>
      <c r="BT60" s="18">
        <f t="shared" si="142"/>
        <v>0</v>
      </c>
      <c r="BU60" s="18">
        <f t="shared" si="142"/>
        <v>0</v>
      </c>
      <c r="BV60" s="20">
        <f t="shared" si="143"/>
        <v>0</v>
      </c>
      <c r="BW60" s="17">
        <f t="shared" si="144"/>
        <v>0</v>
      </c>
      <c r="BX60" s="18">
        <f t="shared" si="144"/>
        <v>0</v>
      </c>
      <c r="BY60" s="18">
        <f t="shared" si="144"/>
        <v>0</v>
      </c>
      <c r="BZ60" s="20">
        <f t="shared" si="145"/>
        <v>0</v>
      </c>
      <c r="CA60" s="17">
        <f t="shared" si="146"/>
        <v>0</v>
      </c>
      <c r="CB60" s="18">
        <f t="shared" si="146"/>
        <v>0</v>
      </c>
      <c r="CC60" s="18">
        <f t="shared" si="146"/>
        <v>0</v>
      </c>
      <c r="CD60" s="20">
        <f t="shared" si="147"/>
        <v>0</v>
      </c>
      <c r="CH60" s="3"/>
      <c r="CJ60" s="91">
        <f t="shared" si="118"/>
        <v>0</v>
      </c>
      <c r="CK60" s="91">
        <f t="shared" si="118"/>
        <v>0</v>
      </c>
      <c r="CL60" s="91">
        <f t="shared" si="118"/>
        <v>0</v>
      </c>
      <c r="CM60" s="91">
        <f t="shared" si="118"/>
        <v>0</v>
      </c>
      <c r="CN60" s="91">
        <f t="shared" si="78"/>
        <v>0</v>
      </c>
      <c r="CO60" s="91">
        <f t="shared" si="78"/>
        <v>0</v>
      </c>
      <c r="CP60" s="91">
        <f t="shared" si="78"/>
        <v>0</v>
      </c>
      <c r="CQ60" s="91">
        <f t="shared" si="78"/>
        <v>0</v>
      </c>
    </row>
    <row r="61" spans="1:95" ht="17.25" customHeight="1" outlineLevel="2" x14ac:dyDescent="0.3">
      <c r="A61" s="9"/>
      <c r="B61" s="28" t="s">
        <v>71</v>
      </c>
      <c r="C61" s="168"/>
      <c r="D61" s="18"/>
      <c r="E61" s="43"/>
      <c r="F61" s="170">
        <f t="shared" si="119"/>
        <v>0</v>
      </c>
      <c r="G61" s="83"/>
      <c r="H61" s="18"/>
      <c r="I61" s="18"/>
      <c r="J61" s="19">
        <f t="shared" si="120"/>
        <v>0</v>
      </c>
      <c r="K61" s="17"/>
      <c r="L61" s="18"/>
      <c r="M61" s="43"/>
      <c r="N61" s="19">
        <f t="shared" si="121"/>
        <v>0</v>
      </c>
      <c r="O61" s="17">
        <f t="shared" si="122"/>
        <v>0</v>
      </c>
      <c r="P61" s="43">
        <f t="shared" si="123"/>
        <v>0</v>
      </c>
      <c r="Q61" s="43">
        <f t="shared" si="123"/>
        <v>0</v>
      </c>
      <c r="R61" s="19">
        <f t="shared" si="124"/>
        <v>0</v>
      </c>
      <c r="S61" s="17"/>
      <c r="T61" s="18"/>
      <c r="U61" s="18"/>
      <c r="V61" s="19">
        <f t="shared" si="125"/>
        <v>0</v>
      </c>
      <c r="W61" s="17"/>
      <c r="X61" s="18"/>
      <c r="Y61" s="19"/>
      <c r="Z61" s="18">
        <f t="shared" si="126"/>
        <v>0</v>
      </c>
      <c r="AA61" s="83"/>
      <c r="AB61" s="18"/>
      <c r="AC61" s="18"/>
      <c r="AD61" s="19">
        <f t="shared" si="127"/>
        <v>0</v>
      </c>
      <c r="AE61" s="17">
        <f t="shared" si="128"/>
        <v>0</v>
      </c>
      <c r="AF61" s="18">
        <f t="shared" si="128"/>
        <v>0</v>
      </c>
      <c r="AG61" s="18">
        <f t="shared" si="128"/>
        <v>0</v>
      </c>
      <c r="AH61" s="19">
        <f t="shared" si="129"/>
        <v>0</v>
      </c>
      <c r="AI61" s="17">
        <f t="shared" si="130"/>
        <v>0</v>
      </c>
      <c r="AJ61" s="18">
        <f t="shared" si="130"/>
        <v>0</v>
      </c>
      <c r="AK61" s="18">
        <f t="shared" si="130"/>
        <v>0</v>
      </c>
      <c r="AL61" s="19">
        <f t="shared" si="131"/>
        <v>0</v>
      </c>
      <c r="AM61" s="17"/>
      <c r="AN61" s="18"/>
      <c r="AO61" s="18"/>
      <c r="AP61" s="20">
        <f t="shared" si="132"/>
        <v>0</v>
      </c>
      <c r="AQ61" s="17"/>
      <c r="AR61" s="18"/>
      <c r="AS61" s="18"/>
      <c r="AT61" s="20">
        <f t="shared" si="133"/>
        <v>0</v>
      </c>
      <c r="AU61" s="17"/>
      <c r="AV61" s="18"/>
      <c r="AW61" s="43"/>
      <c r="AX61" s="20">
        <f t="shared" si="134"/>
        <v>0</v>
      </c>
      <c r="AY61" s="17">
        <f t="shared" si="135"/>
        <v>0</v>
      </c>
      <c r="AZ61" s="18">
        <f t="shared" si="135"/>
        <v>0</v>
      </c>
      <c r="BA61" s="18">
        <f t="shared" si="135"/>
        <v>0</v>
      </c>
      <c r="BB61" s="19">
        <f t="shared" si="136"/>
        <v>0</v>
      </c>
      <c r="BC61" s="190">
        <f t="shared" si="137"/>
        <v>0</v>
      </c>
      <c r="BD61" s="84">
        <f t="shared" si="137"/>
        <v>0</v>
      </c>
      <c r="BE61" s="84">
        <f t="shared" si="137"/>
        <v>0</v>
      </c>
      <c r="BF61" s="170">
        <f t="shared" si="138"/>
        <v>0</v>
      </c>
      <c r="BG61" s="83"/>
      <c r="BH61" s="18"/>
      <c r="BI61" s="18"/>
      <c r="BJ61" s="27">
        <f t="shared" si="139"/>
        <v>0</v>
      </c>
      <c r="BK61" s="17"/>
      <c r="BL61" s="18"/>
      <c r="BM61" s="18"/>
      <c r="BN61" s="27">
        <f t="shared" si="140"/>
        <v>0</v>
      </c>
      <c r="BO61" s="17"/>
      <c r="BP61" s="18"/>
      <c r="BQ61" s="18"/>
      <c r="BR61" s="41">
        <f t="shared" si="141"/>
        <v>0</v>
      </c>
      <c r="BS61" s="17">
        <f t="shared" si="142"/>
        <v>0</v>
      </c>
      <c r="BT61" s="18">
        <f t="shared" si="142"/>
        <v>0</v>
      </c>
      <c r="BU61" s="18">
        <f t="shared" si="142"/>
        <v>0</v>
      </c>
      <c r="BV61" s="20">
        <f t="shared" si="143"/>
        <v>0</v>
      </c>
      <c r="BW61" s="17">
        <f t="shared" si="144"/>
        <v>0</v>
      </c>
      <c r="BX61" s="18">
        <f t="shared" si="144"/>
        <v>0</v>
      </c>
      <c r="BY61" s="18">
        <f t="shared" si="144"/>
        <v>0</v>
      </c>
      <c r="BZ61" s="20">
        <f t="shared" si="145"/>
        <v>0</v>
      </c>
      <c r="CA61" s="17">
        <f t="shared" si="146"/>
        <v>0</v>
      </c>
      <c r="CB61" s="18">
        <f t="shared" si="146"/>
        <v>0</v>
      </c>
      <c r="CC61" s="18">
        <f t="shared" si="146"/>
        <v>0</v>
      </c>
      <c r="CD61" s="20">
        <f t="shared" si="147"/>
        <v>0</v>
      </c>
      <c r="CH61" s="3"/>
      <c r="CJ61" s="91">
        <f t="shared" si="118"/>
        <v>0</v>
      </c>
      <c r="CK61" s="91">
        <f t="shared" si="118"/>
        <v>0</v>
      </c>
      <c r="CL61" s="91">
        <f t="shared" si="118"/>
        <v>0</v>
      </c>
      <c r="CM61" s="91">
        <f t="shared" si="118"/>
        <v>0</v>
      </c>
      <c r="CN61" s="91">
        <f t="shared" si="78"/>
        <v>0</v>
      </c>
      <c r="CO61" s="91">
        <f t="shared" si="78"/>
        <v>0</v>
      </c>
      <c r="CP61" s="91">
        <f t="shared" si="78"/>
        <v>0</v>
      </c>
      <c r="CQ61" s="91">
        <f t="shared" si="78"/>
        <v>0</v>
      </c>
    </row>
    <row r="62" spans="1:95" ht="17.25" customHeight="1" outlineLevel="2" x14ac:dyDescent="0.3">
      <c r="A62" s="9"/>
      <c r="B62" s="28" t="s">
        <v>72</v>
      </c>
      <c r="C62" s="168"/>
      <c r="D62" s="18"/>
      <c r="E62" s="43"/>
      <c r="F62" s="170">
        <f t="shared" si="119"/>
        <v>0</v>
      </c>
      <c r="G62" s="83"/>
      <c r="H62" s="18"/>
      <c r="I62" s="18"/>
      <c r="J62" s="19">
        <f t="shared" si="120"/>
        <v>0</v>
      </c>
      <c r="K62" s="17"/>
      <c r="L62" s="18"/>
      <c r="M62" s="18"/>
      <c r="N62" s="19">
        <f t="shared" si="121"/>
        <v>0</v>
      </c>
      <c r="O62" s="17">
        <f t="shared" si="122"/>
        <v>0</v>
      </c>
      <c r="P62" s="43">
        <f t="shared" si="123"/>
        <v>0</v>
      </c>
      <c r="Q62" s="43">
        <f t="shared" si="123"/>
        <v>0</v>
      </c>
      <c r="R62" s="19">
        <f t="shared" si="124"/>
        <v>0</v>
      </c>
      <c r="S62" s="17"/>
      <c r="T62" s="18"/>
      <c r="U62" s="18"/>
      <c r="V62" s="19">
        <f t="shared" si="125"/>
        <v>0</v>
      </c>
      <c r="W62" s="17"/>
      <c r="X62" s="18"/>
      <c r="Y62" s="19"/>
      <c r="Z62" s="18">
        <f t="shared" si="126"/>
        <v>0</v>
      </c>
      <c r="AA62" s="83"/>
      <c r="AB62" s="18"/>
      <c r="AC62" s="43"/>
      <c r="AD62" s="19">
        <f t="shared" si="127"/>
        <v>0</v>
      </c>
      <c r="AE62" s="17">
        <f t="shared" si="128"/>
        <v>0</v>
      </c>
      <c r="AF62" s="18">
        <f t="shared" si="128"/>
        <v>0</v>
      </c>
      <c r="AG62" s="18">
        <f t="shared" si="128"/>
        <v>0</v>
      </c>
      <c r="AH62" s="19">
        <f t="shared" si="129"/>
        <v>0</v>
      </c>
      <c r="AI62" s="17">
        <f t="shared" si="130"/>
        <v>0</v>
      </c>
      <c r="AJ62" s="18">
        <f t="shared" si="130"/>
        <v>0</v>
      </c>
      <c r="AK62" s="18">
        <f t="shared" si="130"/>
        <v>0</v>
      </c>
      <c r="AL62" s="19">
        <f t="shared" si="131"/>
        <v>0</v>
      </c>
      <c r="AM62" s="17"/>
      <c r="AN62" s="18"/>
      <c r="AO62" s="18"/>
      <c r="AP62" s="20">
        <f t="shared" si="132"/>
        <v>0</v>
      </c>
      <c r="AQ62" s="17"/>
      <c r="AR62" s="18"/>
      <c r="AS62" s="18"/>
      <c r="AT62" s="20">
        <f t="shared" si="133"/>
        <v>0</v>
      </c>
      <c r="AU62" s="17"/>
      <c r="AV62" s="18"/>
      <c r="AW62" s="43"/>
      <c r="AX62" s="20">
        <f t="shared" si="134"/>
        <v>0</v>
      </c>
      <c r="AY62" s="17">
        <f t="shared" si="135"/>
        <v>0</v>
      </c>
      <c r="AZ62" s="18">
        <f t="shared" si="135"/>
        <v>0</v>
      </c>
      <c r="BA62" s="18">
        <f t="shared" si="135"/>
        <v>0</v>
      </c>
      <c r="BB62" s="19">
        <f t="shared" si="136"/>
        <v>0</v>
      </c>
      <c r="BC62" s="190">
        <f t="shared" si="137"/>
        <v>0</v>
      </c>
      <c r="BD62" s="84">
        <f t="shared" si="137"/>
        <v>0</v>
      </c>
      <c r="BE62" s="84">
        <f t="shared" si="137"/>
        <v>0</v>
      </c>
      <c r="BF62" s="170">
        <f t="shared" si="138"/>
        <v>0</v>
      </c>
      <c r="BG62" s="83"/>
      <c r="BH62" s="18"/>
      <c r="BI62" s="18"/>
      <c r="BJ62" s="27">
        <f t="shared" si="139"/>
        <v>0</v>
      </c>
      <c r="BK62" s="17"/>
      <c r="BL62" s="18"/>
      <c r="BM62" s="18"/>
      <c r="BN62" s="27">
        <f t="shared" si="140"/>
        <v>0</v>
      </c>
      <c r="BO62" s="17"/>
      <c r="BP62" s="18"/>
      <c r="BQ62" s="18"/>
      <c r="BR62" s="41">
        <f t="shared" si="141"/>
        <v>0</v>
      </c>
      <c r="BS62" s="17">
        <f t="shared" si="142"/>
        <v>0</v>
      </c>
      <c r="BT62" s="18">
        <f t="shared" si="142"/>
        <v>0</v>
      </c>
      <c r="BU62" s="18">
        <f t="shared" si="142"/>
        <v>0</v>
      </c>
      <c r="BV62" s="20">
        <f t="shared" si="143"/>
        <v>0</v>
      </c>
      <c r="BW62" s="17">
        <f t="shared" si="144"/>
        <v>0</v>
      </c>
      <c r="BX62" s="18">
        <f t="shared" si="144"/>
        <v>0</v>
      </c>
      <c r="BY62" s="18">
        <f t="shared" si="144"/>
        <v>0</v>
      </c>
      <c r="BZ62" s="20">
        <f t="shared" si="145"/>
        <v>0</v>
      </c>
      <c r="CA62" s="17">
        <f t="shared" si="146"/>
        <v>0</v>
      </c>
      <c r="CB62" s="18">
        <f t="shared" si="146"/>
        <v>0</v>
      </c>
      <c r="CC62" s="18">
        <f t="shared" si="146"/>
        <v>0</v>
      </c>
      <c r="CD62" s="20">
        <f t="shared" si="147"/>
        <v>0</v>
      </c>
      <c r="CH62" s="3"/>
      <c r="CJ62" s="91">
        <f t="shared" si="118"/>
        <v>0</v>
      </c>
      <c r="CK62" s="91">
        <f t="shared" si="118"/>
        <v>0</v>
      </c>
      <c r="CL62" s="91">
        <f t="shared" si="118"/>
        <v>0</v>
      </c>
      <c r="CM62" s="91">
        <f t="shared" si="118"/>
        <v>0</v>
      </c>
      <c r="CN62" s="91">
        <f t="shared" si="78"/>
        <v>0</v>
      </c>
      <c r="CO62" s="91">
        <f t="shared" si="78"/>
        <v>0</v>
      </c>
      <c r="CP62" s="91">
        <f t="shared" si="78"/>
        <v>0</v>
      </c>
      <c r="CQ62" s="91">
        <f t="shared" si="78"/>
        <v>0</v>
      </c>
    </row>
    <row r="63" spans="1:95" ht="33.75" customHeight="1" x14ac:dyDescent="0.3">
      <c r="A63" s="9">
        <v>8</v>
      </c>
      <c r="B63" s="10" t="s">
        <v>73</v>
      </c>
      <c r="C63" s="168">
        <f>C64+C65+C66+C67+C68+C69+C70+C71+C72</f>
        <v>493700</v>
      </c>
      <c r="D63" s="31">
        <f>D64+D65+D66+D67+D68+D69+D70+D71+D72+D73</f>
        <v>105450</v>
      </c>
      <c r="E63" s="31">
        <f>E64+E65+E66+E67+E68+E69+E70+E71+E72+E73</f>
        <v>105475</v>
      </c>
      <c r="F63" s="178">
        <f>F64+F65+F66+F67+F68+F69+F70+F71+F72</f>
        <v>-388250</v>
      </c>
      <c r="G63" s="89">
        <f>G64+G65+G66+G67+G68+G69+G70+G71+G72</f>
        <v>205525</v>
      </c>
      <c r="H63" s="31">
        <f>H64+H65+H66+H67+H68+H69+H70+H71+H72+H73</f>
        <v>945368</v>
      </c>
      <c r="I63" s="31">
        <f>I64+I65+I66+I67+I68+I69+I70+I71+I72+I73</f>
        <v>66868</v>
      </c>
      <c r="J63" s="31">
        <f>J64+J65+J66+J67+J68+J69+J70+J71+J72</f>
        <v>-176657</v>
      </c>
      <c r="K63" s="31">
        <f>K64+K65+K66+K67+K68+K69+K70+K71+K72</f>
        <v>83700</v>
      </c>
      <c r="L63" s="31">
        <f>L64+L65+L66+L67+L68+L69+L70+L71+L72+L73</f>
        <v>40000</v>
      </c>
      <c r="M63" s="31">
        <f>M64+M65+M66+M67+M68+M69+M70+M71+M72+M73</f>
        <v>916500</v>
      </c>
      <c r="N63" s="31">
        <f>N64+N65+N66+N67+N68+N69+N70+N71+N72</f>
        <v>-43700</v>
      </c>
      <c r="O63" s="31">
        <f t="shared" ref="O63:P63" si="148">O64+O65+O66+O67+O68+O69+O70+O71+O72+O73</f>
        <v>782925</v>
      </c>
      <c r="P63" s="31">
        <f t="shared" si="148"/>
        <v>1090818</v>
      </c>
      <c r="Q63" s="31">
        <f>Q64+Q65+Q66+Q67+Q68+Q69+Q70+Q71+Q72+Q73</f>
        <v>1088843</v>
      </c>
      <c r="R63" s="31">
        <f>R64+R65+R66+R67+R68+R69+R70+R71+R72</f>
        <v>-608607</v>
      </c>
      <c r="S63" s="31">
        <f>S64+S65+S66+S67+S68+S69+S70+S71+S72</f>
        <v>143700</v>
      </c>
      <c r="T63" s="31">
        <f>T64+T65+T66+T67+T68+T69+T70+T71+T72+T73</f>
        <v>119390.77</v>
      </c>
      <c r="U63" s="31">
        <f>U64+U65+U66+U67+U68+U69+U70+U71+U72+U73</f>
        <v>17940.77</v>
      </c>
      <c r="V63" s="31">
        <f>V64+V65+V66+V67+V68+V69+V70+V71+V72</f>
        <v>-24309.229999999996</v>
      </c>
      <c r="W63" s="31">
        <f>W64+W65+W66+W67+W68+W69+W70+W71+W72</f>
        <v>88700</v>
      </c>
      <c r="X63" s="31">
        <f>X64+X65+X66+X67+X68+X69+X70+X71+X72+X73</f>
        <v>12240</v>
      </c>
      <c r="Y63" s="30">
        <f>Y64+Y65+Y66+Y67+Y68+Y69+Y70+Y71+Y72+Y73</f>
        <v>107528.2</v>
      </c>
      <c r="Z63" s="31">
        <f>Z64+Z65+Z66+Z67+Z68+Z69+Z70+Z71+Z72</f>
        <v>-76460</v>
      </c>
      <c r="AA63" s="89">
        <f>AA64+AA65+AA66+AA67+AA68+AA69+AA70+AA71+AA72</f>
        <v>93700</v>
      </c>
      <c r="AB63" s="31">
        <f>AB64+AB65+AB66+AB67+AB68+AB69+AB70+AB71+AB72+AB73</f>
        <v>8612.1</v>
      </c>
      <c r="AC63" s="95">
        <f>AC64+AC65+AC66+AC67+AC68+AC69+AC70+AC71+AC72+AC73</f>
        <v>8612.1</v>
      </c>
      <c r="AD63" s="31">
        <f>AD64+AD65+AD66+AD67+AD68+AD69+AD70+AD71+AD72</f>
        <v>-85087.9</v>
      </c>
      <c r="AE63" s="31">
        <f>AE64+AE65+AE66+AE67+AE68+AE69+AE70+AE71+AE72</f>
        <v>326100</v>
      </c>
      <c r="AF63" s="31">
        <f>AF64+AF65+AF66+AF67+AF68+AF69+AF70+AF71+AF72+AF73</f>
        <v>140242.87</v>
      </c>
      <c r="AG63" s="31">
        <f>AG64+AG65+AG66+AG67+AG68+AG69+AG70+AG71+AG72+AG73</f>
        <v>134081.07</v>
      </c>
      <c r="AH63" s="31">
        <f>AH64+AH65+AH66+AH67+AH68+AH69+AH70+AH71+AH72</f>
        <v>-185857.13</v>
      </c>
      <c r="AI63" s="31">
        <f>AI64+AI65+AI66+AI67+AI68+AI69+AI70+AI71+AI72</f>
        <v>1109025</v>
      </c>
      <c r="AJ63" s="31">
        <f>AJ64+AJ65+AJ66+AJ67+AJ68+AJ69+AJ70+AJ71+AJ72+AJ73</f>
        <v>1231060.8700000001</v>
      </c>
      <c r="AK63" s="31">
        <f>AK64+AK65+AK66+AK67+AK68+AK69+AK70+AK71+AK72+AK73</f>
        <v>1222924.07</v>
      </c>
      <c r="AL63" s="31">
        <f>AL64+AL65+AL66+AL67+AL68+AL69+AL70+AL71+AL72</f>
        <v>-794464.13</v>
      </c>
      <c r="AM63" s="31">
        <f>AM64+AM65+AM66+AM67+AM68+AM69+AM70+AM71+AM72</f>
        <v>66700</v>
      </c>
      <c r="AN63" s="31">
        <f>AN64+AN65+AN66+AN67+AN68+AN69+AN70+AN71+AN72+AN73</f>
        <v>21427.9</v>
      </c>
      <c r="AO63" s="31">
        <f>AO64+AO65+AO66+AO67+AO68+AO69+AO70+AO71+AO72+AO73</f>
        <v>21427.9</v>
      </c>
      <c r="AP63" s="31">
        <f>AP64+AP65+AP66+AP67+AP68+AP69+AP70+AP71+AP72</f>
        <v>-45272.1</v>
      </c>
      <c r="AQ63" s="31">
        <f>AQ64+AQ65+AQ66+AQ67+AQ68+AQ69+AQ70+AQ71+AQ72</f>
        <v>66700</v>
      </c>
      <c r="AR63" s="31">
        <f>AR64+AR65+AR66+AR67+AR68+AR69+AR70+AR71+AR72+AR73</f>
        <v>45725.340000000004</v>
      </c>
      <c r="AS63" s="31">
        <f>AS64+AS65+AS66+AS67+AS68+AS69+AS70+AS71+AS72+AS73</f>
        <v>67949.8</v>
      </c>
      <c r="AT63" s="31">
        <f>AT64+AT65+AT66+AT67+AT68+AT69+AT70+AT71+AT72</f>
        <v>-20974.659999999996</v>
      </c>
      <c r="AU63" s="31">
        <f>AU64+AU65+AU66+AU67+AU68+AU69+AU70+AU71+AU72</f>
        <v>66700</v>
      </c>
      <c r="AV63" s="31">
        <f>AV64+AV65+AV66+AV67+AV68+AV69+AV70+AV71+AV72+AV73</f>
        <v>256688.55</v>
      </c>
      <c r="AW63" s="31">
        <f>AW64+AW65+AW66+AW67+AW68+AW69+AW70+AW71+AW72+AW73</f>
        <v>271017.34999999998</v>
      </c>
      <c r="AX63" s="31">
        <f>AX64+AX65+AX66+AX67+AX68+AX69+AX70+AX71+AX72</f>
        <v>189988.55</v>
      </c>
      <c r="AY63" s="31">
        <f>AY64+AY65+AY66+AY67+AY68+AY69+AY70+AY71+AY72</f>
        <v>200100</v>
      </c>
      <c r="AZ63" s="31">
        <f>AZ64+AZ65+AZ66+AZ67+AZ68+AZ69+AZ70+AZ71+AZ72+AZ73</f>
        <v>323841.79000000004</v>
      </c>
      <c r="BA63" s="31">
        <f>BA64+BA65+BA66+BA67+BA68+BA69+BA70+BA71+BA72+BA73</f>
        <v>360395.05</v>
      </c>
      <c r="BB63" s="30">
        <f>BB64+BB65+BB66+BB67+BB68+BB69+BB70+BB71+BB72</f>
        <v>123741.79000000001</v>
      </c>
      <c r="BC63" s="168">
        <f>BC64+BC65+BC66+BC67+BC68+BC69+BC70+BC71+BC72</f>
        <v>1309125</v>
      </c>
      <c r="BD63" s="31">
        <f>BD64+BD65+BD66+BD67+BD68+BD69+BD70+BD71+BD72+BD73</f>
        <v>1554902.6600000001</v>
      </c>
      <c r="BE63" s="31">
        <f>BE64+BE65+BE66+BE67+BE68+BE69+BE70+BE71+BE72+BE73</f>
        <v>1583319.12</v>
      </c>
      <c r="BF63" s="178">
        <f>BF64+BF65+BF66+BF67+BF68+BF69+BF70+BF71+BF72</f>
        <v>-670722.34000000008</v>
      </c>
      <c r="BG63" s="89">
        <f>BG64+BG65+BG66+BG67+BG68+BG69+BG70+BG71+BG72</f>
        <v>76700</v>
      </c>
      <c r="BH63" s="31">
        <f>BH64+BH65+BH66+BH67+BH68+BH69+BH70+BH71+BH72+BH73</f>
        <v>62420</v>
      </c>
      <c r="BI63" s="95">
        <f>BI64+BI65+BI66+BI67+BI68+BI69+BI70+BI71+BI72+BI73</f>
        <v>38186</v>
      </c>
      <c r="BJ63" s="95">
        <f>BJ64+BJ65+BJ66+BJ67+BJ68+BJ69+BJ70+BJ71+BJ72</f>
        <v>-14280</v>
      </c>
      <c r="BK63" s="95">
        <f>BK64+BK65+BK66+BK67+BK68+BK69+BK70+BK71+BK72</f>
        <v>171700</v>
      </c>
      <c r="BL63" s="95">
        <f>BL64+BL65+BL66+BL67+BL68+BL69+BL70+BL71+BL72+BL73</f>
        <v>76500</v>
      </c>
      <c r="BM63" s="95">
        <f>BM64+BM65+BM66+BM67+BM68+BM69+BM70+BM71+BM72+BM73</f>
        <v>44240</v>
      </c>
      <c r="BN63" s="95">
        <f>BN64+BN65+BN66+BN67+BN68+BN69+BN70+BN71+BN72</f>
        <v>-95200</v>
      </c>
      <c r="BO63" s="95">
        <f>BO64+BO65+BO66+BO67+BO68+BO69+BO70+BO71+BO72</f>
        <v>116700</v>
      </c>
      <c r="BP63" s="95">
        <f>BP64+BP65+BP66+BP67+BP68+BP69+BP70+BP71+BP72+BP73</f>
        <v>19006</v>
      </c>
      <c r="BQ63" s="95">
        <f>BQ64+BQ65+BQ66+BQ67+BQ68+BQ69+BQ70+BQ71+BQ72+BQ73</f>
        <v>52436</v>
      </c>
      <c r="BR63" s="31">
        <f>BR64+BR65+BR66+BR67+BR68+BR69+BR70+BR71+BR72</f>
        <v>-97694</v>
      </c>
      <c r="BS63" s="31">
        <f>BS64+BS65+BS66+BS67+BS68+BS69+BS70+BS71+BS72</f>
        <v>365100</v>
      </c>
      <c r="BT63" s="31">
        <f>BT64+BT65+BT66+BT67+BT68+BT69+BT70+BT71+BT72+BT73</f>
        <v>157926</v>
      </c>
      <c r="BU63" s="31">
        <f>BU64+BU65+BU66+BU67+BU68+BU69+BU70+BU71+BU72+BU73</f>
        <v>134862</v>
      </c>
      <c r="BV63" s="31">
        <f>BV64+BV65+BV66+BV67+BV68+BV69+BV70+BV71+BV72</f>
        <v>-207174</v>
      </c>
      <c r="BW63" s="31">
        <f>BW64+BW65+BW66+BW67+BW68+BW69+BW70+BW71+BW72</f>
        <v>565200</v>
      </c>
      <c r="BX63" s="31">
        <f>BX64+BX65+BX66+BX67+BX68+BX69+BX70+BX71+BX72+BX73</f>
        <v>481767.79</v>
      </c>
      <c r="BY63" s="31">
        <f>BY64+BY65+BY66+BY67+BY68+BY69+BY70+BY71+BY72+BY73</f>
        <v>495257.05</v>
      </c>
      <c r="BZ63" s="31">
        <f>BZ64+BZ65+BZ66+BZ67+BZ68+BZ69+BZ70+BZ71+BZ72</f>
        <v>-83432.209999999992</v>
      </c>
      <c r="CA63" s="31">
        <f>CA64+CA65+CA66+CA67+CA68+CA69+CA70+CA71+CA72</f>
        <v>1674225</v>
      </c>
      <c r="CB63" s="31">
        <f>CB64+CB65+CB66+CB67+CB68+CB69+CB70+CB71+CB72+CB73</f>
        <v>1712828.66</v>
      </c>
      <c r="CC63" s="31">
        <f>CC64+CC65+CC66+CC67+CC68+CC69+CC70+CC71+CC72+CC73</f>
        <v>1718181.12</v>
      </c>
      <c r="CD63" s="31">
        <f>CD64+CD65+CD66+CD67+CD68+CD69+CD70+CD71+CD72</f>
        <v>-877896.34000000008</v>
      </c>
      <c r="CH63" s="3"/>
      <c r="CJ63" s="208">
        <f>SUM(CJ64:CJ73)</f>
        <v>365100</v>
      </c>
      <c r="CK63" s="208">
        <f>SUM(CK64:CK73)</f>
        <v>157926</v>
      </c>
      <c r="CL63" s="208">
        <f>SUM(CL64:CL73)</f>
        <v>134862</v>
      </c>
      <c r="CM63" s="208">
        <f>SUM(CM64:CM73)</f>
        <v>-207174</v>
      </c>
      <c r="CN63" s="208">
        <f t="shared" ref="CN63:CQ97" si="149">O63+AE63+AY63+CJ63</f>
        <v>1674225</v>
      </c>
      <c r="CO63" s="208">
        <f t="shared" si="149"/>
        <v>1712828.6600000001</v>
      </c>
      <c r="CP63" s="208">
        <f t="shared" si="149"/>
        <v>1718181.12</v>
      </c>
      <c r="CQ63" s="208">
        <f t="shared" si="149"/>
        <v>-877896.34</v>
      </c>
    </row>
    <row r="64" spans="1:95" ht="22.5" customHeight="1" outlineLevel="1" x14ac:dyDescent="0.3">
      <c r="A64" s="42">
        <v>8.1199999999999992</v>
      </c>
      <c r="B64" s="28" t="s">
        <v>74</v>
      </c>
      <c r="C64" s="174">
        <v>30000</v>
      </c>
      <c r="D64" s="18"/>
      <c r="E64" s="43"/>
      <c r="F64" s="170">
        <f t="shared" ref="F64:F93" si="150">D64-C64</f>
        <v>-30000</v>
      </c>
      <c r="G64" s="83">
        <v>30000</v>
      </c>
      <c r="H64" s="18">
        <v>868</v>
      </c>
      <c r="I64" s="43">
        <v>868</v>
      </c>
      <c r="J64" s="19">
        <f t="shared" ref="J64:J81" si="151">H64-G64</f>
        <v>-29132</v>
      </c>
      <c r="K64" s="17">
        <v>30000</v>
      </c>
      <c r="L64" s="18"/>
      <c r="M64" s="18"/>
      <c r="N64" s="19">
        <f t="shared" ref="N64:N71" si="152">L64-K64</f>
        <v>-30000</v>
      </c>
      <c r="O64" s="17">
        <f t="shared" ref="O64:O73" si="153">C64+G64+K64</f>
        <v>90000</v>
      </c>
      <c r="P64" s="43">
        <f t="shared" ref="P64:Q73" si="154">L64+H64+D64</f>
        <v>868</v>
      </c>
      <c r="Q64" s="43">
        <f t="shared" si="154"/>
        <v>868</v>
      </c>
      <c r="R64" s="19">
        <f t="shared" ref="R64:R93" si="155">P64-O64</f>
        <v>-89132</v>
      </c>
      <c r="S64" s="17">
        <v>10000</v>
      </c>
      <c r="T64" s="18"/>
      <c r="U64" s="43"/>
      <c r="V64" s="19">
        <f t="shared" ref="V64:V71" si="156">T64-S64</f>
        <v>-10000</v>
      </c>
      <c r="W64" s="17">
        <v>10000</v>
      </c>
      <c r="X64" s="18"/>
      <c r="Y64" s="19"/>
      <c r="Z64" s="18">
        <f t="shared" ref="Z64:Z71" si="157">X64-W64</f>
        <v>-10000</v>
      </c>
      <c r="AA64" s="83">
        <v>10000</v>
      </c>
      <c r="AB64" s="18"/>
      <c r="AC64" s="43"/>
      <c r="AD64" s="19">
        <f t="shared" ref="AD64:AD85" si="158">AB64-AA64</f>
        <v>-10000</v>
      </c>
      <c r="AE64" s="17">
        <f t="shared" ref="AE64:AG71" si="159">S64+W64+AA64</f>
        <v>30000</v>
      </c>
      <c r="AF64" s="18">
        <f t="shared" si="159"/>
        <v>0</v>
      </c>
      <c r="AG64" s="18">
        <f t="shared" si="159"/>
        <v>0</v>
      </c>
      <c r="AH64" s="19">
        <f t="shared" ref="AH64:AH73" si="160">AF64-AE64</f>
        <v>-30000</v>
      </c>
      <c r="AI64" s="17">
        <f t="shared" ref="AI64:AK73" si="161">AE64+O64</f>
        <v>120000</v>
      </c>
      <c r="AJ64" s="18">
        <f t="shared" si="161"/>
        <v>868</v>
      </c>
      <c r="AK64" s="18">
        <f t="shared" si="161"/>
        <v>868</v>
      </c>
      <c r="AL64" s="19">
        <f t="shared" ref="AL64:AL104" si="162">AJ64-AI64</f>
        <v>-119132</v>
      </c>
      <c r="AM64" s="17">
        <v>10000</v>
      </c>
      <c r="AN64" s="18"/>
      <c r="AO64" s="18"/>
      <c r="AP64" s="20">
        <f t="shared" ref="AP64:AP71" si="163">AN64-AM64</f>
        <v>-10000</v>
      </c>
      <c r="AQ64" s="17">
        <v>10000</v>
      </c>
      <c r="AR64" s="18"/>
      <c r="AS64" s="18"/>
      <c r="AT64" s="20">
        <f t="shared" ref="AT64:AT71" si="164">AR64-AQ64</f>
        <v>-10000</v>
      </c>
      <c r="AU64" s="17">
        <v>10000</v>
      </c>
      <c r="AV64" s="18">
        <f>1420+673</f>
        <v>2093</v>
      </c>
      <c r="AW64" s="43">
        <v>2143</v>
      </c>
      <c r="AX64" s="20">
        <f t="shared" ref="AX64:AX71" si="165">AV64-AU64</f>
        <v>-7907</v>
      </c>
      <c r="AY64" s="17">
        <f t="shared" ref="AY64:BA73" si="166">AM64+AQ64+AU64</f>
        <v>30000</v>
      </c>
      <c r="AZ64" s="18">
        <f t="shared" si="166"/>
        <v>2093</v>
      </c>
      <c r="BA64" s="18">
        <f t="shared" si="166"/>
        <v>2143</v>
      </c>
      <c r="BB64" s="19">
        <f t="shared" ref="BB64:BB83" si="167">AZ64-AY64</f>
        <v>-27907</v>
      </c>
      <c r="BC64" s="190">
        <f t="shared" ref="BC64:BE73" si="168">(AI64+AY64)</f>
        <v>150000</v>
      </c>
      <c r="BD64" s="84">
        <f t="shared" si="168"/>
        <v>2961</v>
      </c>
      <c r="BE64" s="84">
        <f t="shared" si="168"/>
        <v>3011</v>
      </c>
      <c r="BF64" s="170">
        <f t="shared" ref="BF64:BF86" si="169">BD64-BC64</f>
        <v>-147039</v>
      </c>
      <c r="BG64" s="83">
        <v>20000</v>
      </c>
      <c r="BH64" s="18">
        <v>18000</v>
      </c>
      <c r="BI64" s="43">
        <v>18000</v>
      </c>
      <c r="BJ64" s="41">
        <f t="shared" ref="BJ64:BJ71" si="170">BH64-BG64</f>
        <v>-2000</v>
      </c>
      <c r="BK64" s="44">
        <v>20000</v>
      </c>
      <c r="BL64" s="43">
        <v>25920</v>
      </c>
      <c r="BM64" s="43"/>
      <c r="BN64" s="41">
        <f t="shared" ref="BN64:BN71" si="171">BL64-BK64</f>
        <v>5920</v>
      </c>
      <c r="BO64" s="44">
        <v>30000</v>
      </c>
      <c r="BP64" s="43">
        <f>1032+1840</f>
        <v>2872</v>
      </c>
      <c r="BQ64" s="43">
        <f>2822+25920</f>
        <v>28742</v>
      </c>
      <c r="BR64" s="41">
        <f t="shared" ref="BR64:BR85" si="172">BP64-BO64</f>
        <v>-27128</v>
      </c>
      <c r="BS64" s="17">
        <f t="shared" ref="BS64:BU71" si="173">BG64+BK64+BO64</f>
        <v>70000</v>
      </c>
      <c r="BT64" s="18">
        <f t="shared" si="173"/>
        <v>46792</v>
      </c>
      <c r="BU64" s="18">
        <f t="shared" si="173"/>
        <v>46742</v>
      </c>
      <c r="BV64" s="20">
        <f t="shared" ref="BV64:BV71" si="174">BT64-BS64</f>
        <v>-23208</v>
      </c>
      <c r="BW64" s="17">
        <f t="shared" ref="BW64:BY71" si="175">BS64+AY64</f>
        <v>100000</v>
      </c>
      <c r="BX64" s="18">
        <f t="shared" si="175"/>
        <v>48885</v>
      </c>
      <c r="BY64" s="18">
        <f t="shared" si="175"/>
        <v>48885</v>
      </c>
      <c r="BZ64" s="20">
        <f t="shared" ref="BZ64:BZ71" si="176">BX64-BW64</f>
        <v>-51115</v>
      </c>
      <c r="CA64" s="17">
        <f t="shared" ref="CA64:CC73" si="177">BW64+AI64</f>
        <v>220000</v>
      </c>
      <c r="CB64" s="18">
        <f t="shared" si="177"/>
        <v>49753</v>
      </c>
      <c r="CC64" s="18">
        <f t="shared" si="177"/>
        <v>49753</v>
      </c>
      <c r="CD64" s="20">
        <f t="shared" ref="CD64:CD71" si="178">CB64-CA64</f>
        <v>-170247</v>
      </c>
      <c r="CF64" s="3"/>
      <c r="CH64" s="3"/>
      <c r="CJ64" s="91">
        <f t="shared" ref="CJ64:CM73" si="179">BG64+BK64+BO64</f>
        <v>70000</v>
      </c>
      <c r="CK64" s="91">
        <f t="shared" si="179"/>
        <v>46792</v>
      </c>
      <c r="CL64" s="91">
        <f t="shared" si="179"/>
        <v>46742</v>
      </c>
      <c r="CM64" s="91">
        <f t="shared" si="179"/>
        <v>-23208</v>
      </c>
      <c r="CN64" s="91">
        <f t="shared" si="149"/>
        <v>220000</v>
      </c>
      <c r="CO64" s="91">
        <f t="shared" si="149"/>
        <v>49753</v>
      </c>
      <c r="CP64" s="91">
        <f t="shared" si="149"/>
        <v>49753</v>
      </c>
      <c r="CQ64" s="91">
        <f t="shared" si="149"/>
        <v>-170247</v>
      </c>
    </row>
    <row r="65" spans="1:95" ht="22.5" customHeight="1" outlineLevel="1" x14ac:dyDescent="0.3">
      <c r="A65" s="42">
        <v>8.1999999999999993</v>
      </c>
      <c r="B65" s="28" t="s">
        <v>75</v>
      </c>
      <c r="C65" s="174">
        <v>5000</v>
      </c>
      <c r="D65" s="18"/>
      <c r="E65" s="43"/>
      <c r="F65" s="170">
        <f t="shared" si="150"/>
        <v>-5000</v>
      </c>
      <c r="G65" s="83">
        <v>5000</v>
      </c>
      <c r="H65" s="18"/>
      <c r="I65" s="18"/>
      <c r="J65" s="19">
        <f t="shared" si="151"/>
        <v>-5000</v>
      </c>
      <c r="K65" s="17">
        <v>10000</v>
      </c>
      <c r="L65" s="18"/>
      <c r="M65" s="18"/>
      <c r="N65" s="19">
        <f t="shared" si="152"/>
        <v>-10000</v>
      </c>
      <c r="O65" s="17">
        <f t="shared" si="153"/>
        <v>20000</v>
      </c>
      <c r="P65" s="43">
        <f t="shared" si="154"/>
        <v>0</v>
      </c>
      <c r="Q65" s="43">
        <f t="shared" si="154"/>
        <v>0</v>
      </c>
      <c r="R65" s="19">
        <f t="shared" si="155"/>
        <v>-20000</v>
      </c>
      <c r="S65" s="17">
        <v>10000</v>
      </c>
      <c r="T65" s="18">
        <v>17940.77</v>
      </c>
      <c r="U65" s="43">
        <v>17940.77</v>
      </c>
      <c r="V65" s="19">
        <f t="shared" si="156"/>
        <v>7940.77</v>
      </c>
      <c r="W65" s="17">
        <v>10000</v>
      </c>
      <c r="X65" s="18">
        <v>4240</v>
      </c>
      <c r="Y65" s="19">
        <v>4240</v>
      </c>
      <c r="Z65" s="18">
        <f t="shared" si="157"/>
        <v>-5760</v>
      </c>
      <c r="AA65" s="83">
        <v>10000</v>
      </c>
      <c r="AB65" s="18">
        <v>5756.1</v>
      </c>
      <c r="AC65" s="43">
        <v>5756.1</v>
      </c>
      <c r="AD65" s="19">
        <f t="shared" si="158"/>
        <v>-4243.8999999999996</v>
      </c>
      <c r="AE65" s="17">
        <f t="shared" si="159"/>
        <v>30000</v>
      </c>
      <c r="AF65" s="18">
        <f t="shared" si="159"/>
        <v>27936.870000000003</v>
      </c>
      <c r="AG65" s="18">
        <f t="shared" si="159"/>
        <v>27936.870000000003</v>
      </c>
      <c r="AH65" s="19">
        <f t="shared" si="160"/>
        <v>-2063.1299999999974</v>
      </c>
      <c r="AI65" s="17">
        <f t="shared" si="161"/>
        <v>50000</v>
      </c>
      <c r="AJ65" s="18">
        <f t="shared" si="161"/>
        <v>27936.870000000003</v>
      </c>
      <c r="AK65" s="18">
        <f t="shared" si="161"/>
        <v>27936.870000000003</v>
      </c>
      <c r="AL65" s="19">
        <f t="shared" si="162"/>
        <v>-22063.129999999997</v>
      </c>
      <c r="AM65" s="17">
        <v>10000</v>
      </c>
      <c r="AN65" s="18">
        <f>697.5+930+2346</f>
        <v>3973.5</v>
      </c>
      <c r="AO65" s="18">
        <f>1627.5+2346</f>
        <v>3973.5</v>
      </c>
      <c r="AP65" s="20">
        <f t="shared" si="163"/>
        <v>-6026.5</v>
      </c>
      <c r="AQ65" s="17">
        <v>10000</v>
      </c>
      <c r="AR65" s="18">
        <v>3947.4</v>
      </c>
      <c r="AS65" s="18">
        <v>3947.4</v>
      </c>
      <c r="AT65" s="20">
        <f t="shared" si="164"/>
        <v>-6052.6</v>
      </c>
      <c r="AU65" s="17">
        <v>10000</v>
      </c>
      <c r="AV65" s="18">
        <f>2325+8426.55</f>
        <v>10751.55</v>
      </c>
      <c r="AW65" s="43">
        <f>2325+8426.55</f>
        <v>10751.55</v>
      </c>
      <c r="AX65" s="20">
        <f t="shared" si="165"/>
        <v>751.54999999999927</v>
      </c>
      <c r="AY65" s="17">
        <f t="shared" si="166"/>
        <v>30000</v>
      </c>
      <c r="AZ65" s="18">
        <f t="shared" si="166"/>
        <v>18672.449999999997</v>
      </c>
      <c r="BA65" s="18">
        <f t="shared" si="166"/>
        <v>18672.449999999997</v>
      </c>
      <c r="BB65" s="19">
        <f t="shared" si="167"/>
        <v>-11327.550000000003</v>
      </c>
      <c r="BC65" s="190">
        <f t="shared" si="168"/>
        <v>80000</v>
      </c>
      <c r="BD65" s="84">
        <f t="shared" si="168"/>
        <v>46609.32</v>
      </c>
      <c r="BE65" s="84">
        <f t="shared" si="168"/>
        <v>46609.32</v>
      </c>
      <c r="BF65" s="170">
        <f t="shared" si="169"/>
        <v>-33390.68</v>
      </c>
      <c r="BG65" s="83">
        <v>10000</v>
      </c>
      <c r="BH65" s="18"/>
      <c r="BI65" s="43"/>
      <c r="BJ65" s="41">
        <f t="shared" si="170"/>
        <v>-10000</v>
      </c>
      <c r="BK65" s="44">
        <v>5000</v>
      </c>
      <c r="BL65" s="43"/>
      <c r="BM65" s="43"/>
      <c r="BN65" s="41">
        <f t="shared" si="171"/>
        <v>-5000</v>
      </c>
      <c r="BO65" s="44">
        <v>5000</v>
      </c>
      <c r="BP65" s="43"/>
      <c r="BQ65" s="43"/>
      <c r="BR65" s="41">
        <f t="shared" si="172"/>
        <v>-5000</v>
      </c>
      <c r="BS65" s="17">
        <f t="shared" si="173"/>
        <v>20000</v>
      </c>
      <c r="BT65" s="18">
        <f t="shared" si="173"/>
        <v>0</v>
      </c>
      <c r="BU65" s="18">
        <f t="shared" si="173"/>
        <v>0</v>
      </c>
      <c r="BV65" s="20">
        <f t="shared" si="174"/>
        <v>-20000</v>
      </c>
      <c r="BW65" s="17">
        <f t="shared" si="175"/>
        <v>50000</v>
      </c>
      <c r="BX65" s="18">
        <f t="shared" si="175"/>
        <v>18672.449999999997</v>
      </c>
      <c r="BY65" s="18">
        <f t="shared" si="175"/>
        <v>18672.449999999997</v>
      </c>
      <c r="BZ65" s="20">
        <f t="shared" si="176"/>
        <v>-31327.550000000003</v>
      </c>
      <c r="CA65" s="17">
        <f t="shared" si="177"/>
        <v>100000</v>
      </c>
      <c r="CB65" s="18">
        <f t="shared" si="177"/>
        <v>46609.32</v>
      </c>
      <c r="CC65" s="18">
        <f t="shared" si="177"/>
        <v>46609.32</v>
      </c>
      <c r="CD65" s="20">
        <f t="shared" si="178"/>
        <v>-53390.68</v>
      </c>
      <c r="CH65" s="3"/>
      <c r="CJ65" s="91">
        <f t="shared" si="179"/>
        <v>20000</v>
      </c>
      <c r="CK65" s="91">
        <f t="shared" si="179"/>
        <v>0</v>
      </c>
      <c r="CL65" s="91">
        <f t="shared" si="179"/>
        <v>0</v>
      </c>
      <c r="CM65" s="91">
        <f t="shared" si="179"/>
        <v>-20000</v>
      </c>
      <c r="CN65" s="91">
        <f t="shared" si="149"/>
        <v>100000</v>
      </c>
      <c r="CO65" s="91">
        <f t="shared" si="149"/>
        <v>46609.32</v>
      </c>
      <c r="CP65" s="91">
        <f t="shared" si="149"/>
        <v>46609.32</v>
      </c>
      <c r="CQ65" s="91">
        <f t="shared" si="149"/>
        <v>-53390.68</v>
      </c>
    </row>
    <row r="66" spans="1:95" ht="22.35" customHeight="1" outlineLevel="1" x14ac:dyDescent="0.3">
      <c r="A66" s="42">
        <v>8.3000000000000007</v>
      </c>
      <c r="B66" s="28" t="s">
        <v>76</v>
      </c>
      <c r="C66" s="174"/>
      <c r="D66" s="18"/>
      <c r="E66" s="43"/>
      <c r="F66" s="170">
        <f t="shared" si="150"/>
        <v>0</v>
      </c>
      <c r="G66" s="83"/>
      <c r="H66" s="18"/>
      <c r="I66" s="18"/>
      <c r="J66" s="19">
        <f t="shared" si="151"/>
        <v>0</v>
      </c>
      <c r="K66" s="17"/>
      <c r="L66" s="18"/>
      <c r="M66" s="18"/>
      <c r="N66" s="19">
        <f t="shared" si="152"/>
        <v>0</v>
      </c>
      <c r="O66" s="17">
        <f t="shared" si="153"/>
        <v>0</v>
      </c>
      <c r="P66" s="43">
        <f t="shared" si="154"/>
        <v>0</v>
      </c>
      <c r="Q66" s="43">
        <f t="shared" si="154"/>
        <v>0</v>
      </c>
      <c r="R66" s="19">
        <f t="shared" si="155"/>
        <v>0</v>
      </c>
      <c r="S66" s="17"/>
      <c r="T66" s="18"/>
      <c r="U66" s="43"/>
      <c r="V66" s="19">
        <f t="shared" si="156"/>
        <v>0</v>
      </c>
      <c r="W66" s="17"/>
      <c r="X66" s="18"/>
      <c r="Y66" s="19"/>
      <c r="Z66" s="18">
        <f t="shared" si="157"/>
        <v>0</v>
      </c>
      <c r="AA66" s="83"/>
      <c r="AB66" s="18"/>
      <c r="AC66" s="43"/>
      <c r="AD66" s="19">
        <f t="shared" si="158"/>
        <v>0</v>
      </c>
      <c r="AE66" s="17">
        <f t="shared" si="159"/>
        <v>0</v>
      </c>
      <c r="AF66" s="18">
        <f t="shared" si="159"/>
        <v>0</v>
      </c>
      <c r="AG66" s="18">
        <f t="shared" si="159"/>
        <v>0</v>
      </c>
      <c r="AH66" s="19">
        <f t="shared" si="160"/>
        <v>0</v>
      </c>
      <c r="AI66" s="17">
        <f t="shared" si="161"/>
        <v>0</v>
      </c>
      <c r="AJ66" s="18">
        <f t="shared" si="161"/>
        <v>0</v>
      </c>
      <c r="AK66" s="18">
        <f t="shared" si="161"/>
        <v>0</v>
      </c>
      <c r="AL66" s="19">
        <f t="shared" si="162"/>
        <v>0</v>
      </c>
      <c r="AM66" s="17">
        <v>3000</v>
      </c>
      <c r="AN66" s="18"/>
      <c r="AO66" s="18"/>
      <c r="AP66" s="20">
        <f t="shared" si="163"/>
        <v>-3000</v>
      </c>
      <c r="AQ66" s="17">
        <v>3000</v>
      </c>
      <c r="AR66" s="18"/>
      <c r="AS66" s="18"/>
      <c r="AT66" s="20">
        <f t="shared" si="164"/>
        <v>-3000</v>
      </c>
      <c r="AU66" s="17">
        <v>3000</v>
      </c>
      <c r="AV66" s="18"/>
      <c r="AW66" s="43"/>
      <c r="AX66" s="20">
        <f t="shared" si="165"/>
        <v>-3000</v>
      </c>
      <c r="AY66" s="17">
        <f t="shared" si="166"/>
        <v>9000</v>
      </c>
      <c r="AZ66" s="18">
        <f t="shared" si="166"/>
        <v>0</v>
      </c>
      <c r="BA66" s="18">
        <f t="shared" si="166"/>
        <v>0</v>
      </c>
      <c r="BB66" s="19">
        <f t="shared" si="167"/>
        <v>-9000</v>
      </c>
      <c r="BC66" s="190">
        <f t="shared" si="168"/>
        <v>9000</v>
      </c>
      <c r="BD66" s="84">
        <f t="shared" si="168"/>
        <v>0</v>
      </c>
      <c r="BE66" s="84">
        <f t="shared" si="168"/>
        <v>0</v>
      </c>
      <c r="BF66" s="170">
        <f t="shared" si="169"/>
        <v>-9000</v>
      </c>
      <c r="BG66" s="83">
        <v>3000</v>
      </c>
      <c r="BH66" s="18"/>
      <c r="BI66" s="43"/>
      <c r="BJ66" s="41">
        <f t="shared" si="170"/>
        <v>-3000</v>
      </c>
      <c r="BK66" s="44">
        <v>3000</v>
      </c>
      <c r="BL66" s="43">
        <v>4500</v>
      </c>
      <c r="BM66" s="43">
        <v>4500</v>
      </c>
      <c r="BN66" s="41">
        <f t="shared" si="171"/>
        <v>1500</v>
      </c>
      <c r="BO66" s="44">
        <v>3000</v>
      </c>
      <c r="BP66" s="43"/>
      <c r="BQ66" s="43"/>
      <c r="BR66" s="41">
        <f t="shared" si="172"/>
        <v>-3000</v>
      </c>
      <c r="BS66" s="17">
        <f t="shared" si="173"/>
        <v>9000</v>
      </c>
      <c r="BT66" s="18">
        <f t="shared" si="173"/>
        <v>4500</v>
      </c>
      <c r="BU66" s="18">
        <f t="shared" si="173"/>
        <v>4500</v>
      </c>
      <c r="BV66" s="20">
        <f t="shared" si="174"/>
        <v>-4500</v>
      </c>
      <c r="BW66" s="17">
        <f t="shared" si="175"/>
        <v>18000</v>
      </c>
      <c r="BX66" s="18">
        <f t="shared" si="175"/>
        <v>4500</v>
      </c>
      <c r="BY66" s="18">
        <f t="shared" si="175"/>
        <v>4500</v>
      </c>
      <c r="BZ66" s="20">
        <f t="shared" si="176"/>
        <v>-13500</v>
      </c>
      <c r="CA66" s="17">
        <f t="shared" si="177"/>
        <v>18000</v>
      </c>
      <c r="CB66" s="18">
        <f t="shared" si="177"/>
        <v>4500</v>
      </c>
      <c r="CC66" s="18">
        <f t="shared" si="177"/>
        <v>4500</v>
      </c>
      <c r="CD66" s="20">
        <f t="shared" si="178"/>
        <v>-13500</v>
      </c>
      <c r="CH66" s="3"/>
      <c r="CJ66" s="91">
        <f t="shared" si="179"/>
        <v>9000</v>
      </c>
      <c r="CK66" s="91">
        <f t="shared" si="179"/>
        <v>4500</v>
      </c>
      <c r="CL66" s="91">
        <f t="shared" si="179"/>
        <v>4500</v>
      </c>
      <c r="CM66" s="91">
        <f t="shared" si="179"/>
        <v>-4500</v>
      </c>
      <c r="CN66" s="91">
        <f t="shared" si="149"/>
        <v>18000</v>
      </c>
      <c r="CO66" s="91">
        <f t="shared" si="149"/>
        <v>4500</v>
      </c>
      <c r="CP66" s="91">
        <f t="shared" si="149"/>
        <v>4500</v>
      </c>
      <c r="CQ66" s="91">
        <f t="shared" si="149"/>
        <v>-13500</v>
      </c>
    </row>
    <row r="67" spans="1:95" ht="20.45" customHeight="1" outlineLevel="1" x14ac:dyDescent="0.3">
      <c r="A67" s="42">
        <v>8.4</v>
      </c>
      <c r="B67" s="28" t="s">
        <v>77</v>
      </c>
      <c r="C67" s="174">
        <v>40000</v>
      </c>
      <c r="D67" s="25"/>
      <c r="E67" s="25"/>
      <c r="F67" s="170">
        <f t="shared" si="150"/>
        <v>-40000</v>
      </c>
      <c r="G67" s="83">
        <v>40000</v>
      </c>
      <c r="H67" s="17"/>
      <c r="I67" s="17">
        <v>2000</v>
      </c>
      <c r="J67" s="19">
        <f t="shared" si="151"/>
        <v>-40000</v>
      </c>
      <c r="K67" s="17">
        <v>40000</v>
      </c>
      <c r="L67" s="18"/>
      <c r="M67" s="18"/>
      <c r="N67" s="19">
        <f t="shared" si="152"/>
        <v>-40000</v>
      </c>
      <c r="O67" s="17">
        <f t="shared" si="153"/>
        <v>120000</v>
      </c>
      <c r="P67" s="43">
        <f t="shared" si="154"/>
        <v>0</v>
      </c>
      <c r="Q67" s="43">
        <f t="shared" si="154"/>
        <v>2000</v>
      </c>
      <c r="R67" s="19">
        <f t="shared" si="155"/>
        <v>-120000</v>
      </c>
      <c r="S67" s="17">
        <v>40000</v>
      </c>
      <c r="T67" s="18"/>
      <c r="U67" s="43"/>
      <c r="V67" s="19">
        <f t="shared" si="156"/>
        <v>-40000</v>
      </c>
      <c r="W67" s="17">
        <v>40000</v>
      </c>
      <c r="X67" s="18">
        <v>8000</v>
      </c>
      <c r="Y67" s="37">
        <f>8000-6136.8</f>
        <v>1863.1999999999998</v>
      </c>
      <c r="Z67" s="18">
        <f t="shared" si="157"/>
        <v>-32000</v>
      </c>
      <c r="AA67" s="83">
        <v>40000</v>
      </c>
      <c r="AB67" s="18">
        <v>2856</v>
      </c>
      <c r="AC67" s="43">
        <v>2856</v>
      </c>
      <c r="AD67" s="19">
        <f t="shared" si="158"/>
        <v>-37144</v>
      </c>
      <c r="AE67" s="17">
        <f t="shared" si="159"/>
        <v>120000</v>
      </c>
      <c r="AF67" s="18">
        <f t="shared" si="159"/>
        <v>10856</v>
      </c>
      <c r="AG67" s="18">
        <f t="shared" si="159"/>
        <v>4719.2</v>
      </c>
      <c r="AH67" s="19">
        <f t="shared" si="160"/>
        <v>-109144</v>
      </c>
      <c r="AI67" s="17">
        <f t="shared" si="161"/>
        <v>240000</v>
      </c>
      <c r="AJ67" s="18">
        <f t="shared" si="161"/>
        <v>10856</v>
      </c>
      <c r="AK67" s="18">
        <f t="shared" si="161"/>
        <v>6719.2</v>
      </c>
      <c r="AL67" s="19">
        <f t="shared" si="162"/>
        <v>-229144</v>
      </c>
      <c r="AM67" s="17">
        <v>40000</v>
      </c>
      <c r="AN67" s="18">
        <f>10000+4064.4+3390</f>
        <v>17454.400000000001</v>
      </c>
      <c r="AO67" s="18">
        <v>17454.400000000001</v>
      </c>
      <c r="AP67" s="20">
        <f t="shared" si="163"/>
        <v>-22545.599999999999</v>
      </c>
      <c r="AQ67" s="17">
        <v>40000</v>
      </c>
      <c r="AR67" s="18">
        <f>13143.6+13143.6+12589.2</f>
        <v>38876.400000000001</v>
      </c>
      <c r="AS67" s="43">
        <v>61422.400000000001</v>
      </c>
      <c r="AT67" s="20">
        <f t="shared" si="164"/>
        <v>-1123.5999999999985</v>
      </c>
      <c r="AU67" s="17">
        <v>40000</v>
      </c>
      <c r="AV67" s="18">
        <f>12500+2500+5000+6774+28200</f>
        <v>54974</v>
      </c>
      <c r="AW67" s="43">
        <v>69252.800000000003</v>
      </c>
      <c r="AX67" s="20">
        <f t="shared" si="165"/>
        <v>14974</v>
      </c>
      <c r="AY67" s="17">
        <f t="shared" si="166"/>
        <v>120000</v>
      </c>
      <c r="AZ67" s="18">
        <f t="shared" si="166"/>
        <v>111304.8</v>
      </c>
      <c r="BA67" s="18">
        <f t="shared" si="166"/>
        <v>148129.60000000001</v>
      </c>
      <c r="BB67" s="19">
        <f t="shared" si="167"/>
        <v>-8695.1999999999971</v>
      </c>
      <c r="BC67" s="190">
        <f t="shared" si="168"/>
        <v>360000</v>
      </c>
      <c r="BD67" s="84">
        <f t="shared" si="168"/>
        <v>122160.8</v>
      </c>
      <c r="BE67" s="84">
        <f t="shared" si="168"/>
        <v>154848.80000000002</v>
      </c>
      <c r="BF67" s="170">
        <f t="shared" si="169"/>
        <v>-237839.2</v>
      </c>
      <c r="BG67" s="83">
        <v>40000</v>
      </c>
      <c r="BH67" s="43">
        <v>36420</v>
      </c>
      <c r="BI67" s="43">
        <f>9686+2500</f>
        <v>12186</v>
      </c>
      <c r="BJ67" s="41">
        <f t="shared" si="170"/>
        <v>-3580</v>
      </c>
      <c r="BK67" s="44">
        <v>40000</v>
      </c>
      <c r="BL67" s="43">
        <f>2500+2500+16014</f>
        <v>21014</v>
      </c>
      <c r="BM67" s="43">
        <v>5000</v>
      </c>
      <c r="BN67" s="41">
        <f t="shared" si="171"/>
        <v>-18986</v>
      </c>
      <c r="BO67" s="44">
        <v>40000</v>
      </c>
      <c r="BP67" s="43">
        <f>1500+1500+6000+2000+1000</f>
        <v>12000</v>
      </c>
      <c r="BQ67" s="43">
        <v>19560</v>
      </c>
      <c r="BR67" s="41">
        <f t="shared" si="172"/>
        <v>-28000</v>
      </c>
      <c r="BS67" s="17">
        <f t="shared" si="173"/>
        <v>120000</v>
      </c>
      <c r="BT67" s="18">
        <f t="shared" si="173"/>
        <v>69434</v>
      </c>
      <c r="BU67" s="18">
        <f t="shared" si="173"/>
        <v>36746</v>
      </c>
      <c r="BV67" s="20">
        <f t="shared" si="174"/>
        <v>-50566</v>
      </c>
      <c r="BW67" s="17">
        <f t="shared" si="175"/>
        <v>240000</v>
      </c>
      <c r="BX67" s="18">
        <f t="shared" si="175"/>
        <v>180738.8</v>
      </c>
      <c r="BY67" s="18">
        <f t="shared" si="175"/>
        <v>184875.6</v>
      </c>
      <c r="BZ67" s="20">
        <f t="shared" si="176"/>
        <v>-59261.200000000012</v>
      </c>
      <c r="CA67" s="17">
        <f t="shared" si="177"/>
        <v>480000</v>
      </c>
      <c r="CB67" s="18">
        <f t="shared" si="177"/>
        <v>191594.8</v>
      </c>
      <c r="CC67" s="18">
        <f t="shared" si="177"/>
        <v>191594.80000000002</v>
      </c>
      <c r="CD67" s="20">
        <f t="shared" si="178"/>
        <v>-288405.2</v>
      </c>
      <c r="CF67" s="3"/>
      <c r="CH67" s="3"/>
      <c r="CJ67" s="91">
        <f t="shared" si="179"/>
        <v>120000</v>
      </c>
      <c r="CK67" s="91">
        <f t="shared" si="179"/>
        <v>69434</v>
      </c>
      <c r="CL67" s="91">
        <f t="shared" si="179"/>
        <v>36746</v>
      </c>
      <c r="CM67" s="91">
        <f t="shared" si="179"/>
        <v>-50566</v>
      </c>
      <c r="CN67" s="91">
        <f t="shared" si="149"/>
        <v>480000</v>
      </c>
      <c r="CO67" s="91">
        <f t="shared" si="149"/>
        <v>191594.8</v>
      </c>
      <c r="CP67" s="91">
        <f t="shared" si="149"/>
        <v>191594.80000000002</v>
      </c>
      <c r="CQ67" s="91">
        <f t="shared" si="149"/>
        <v>-288405.2</v>
      </c>
    </row>
    <row r="68" spans="1:95" ht="19.5" customHeight="1" outlineLevel="1" x14ac:dyDescent="0.3">
      <c r="A68" s="42">
        <v>8.5</v>
      </c>
      <c r="B68" s="28" t="s">
        <v>78</v>
      </c>
      <c r="C68" s="168"/>
      <c r="D68" s="18"/>
      <c r="E68" s="43"/>
      <c r="F68" s="170">
        <f t="shared" si="150"/>
        <v>0</v>
      </c>
      <c r="G68" s="83"/>
      <c r="H68" s="18">
        <f>20000</f>
        <v>20000</v>
      </c>
      <c r="I68" s="18">
        <f>20000+40000</f>
        <v>60000</v>
      </c>
      <c r="J68" s="19">
        <f t="shared" si="151"/>
        <v>20000</v>
      </c>
      <c r="K68" s="17"/>
      <c r="L68" s="18">
        <f>20000+20000</f>
        <v>40000</v>
      </c>
      <c r="M68" s="18"/>
      <c r="N68" s="19">
        <f t="shared" si="152"/>
        <v>40000</v>
      </c>
      <c r="O68" s="17">
        <f t="shared" si="153"/>
        <v>0</v>
      </c>
      <c r="P68" s="43">
        <f t="shared" si="154"/>
        <v>60000</v>
      </c>
      <c r="Q68" s="43">
        <f t="shared" si="154"/>
        <v>60000</v>
      </c>
      <c r="R68" s="19">
        <f t="shared" si="155"/>
        <v>60000</v>
      </c>
      <c r="S68" s="17"/>
      <c r="T68" s="18"/>
      <c r="U68" s="43"/>
      <c r="V68" s="19">
        <f t="shared" si="156"/>
        <v>0</v>
      </c>
      <c r="W68" s="17"/>
      <c r="X68" s="18"/>
      <c r="Y68" s="37"/>
      <c r="Z68" s="18">
        <f t="shared" si="157"/>
        <v>0</v>
      </c>
      <c r="AA68" s="83"/>
      <c r="AB68" s="18"/>
      <c r="AC68" s="43"/>
      <c r="AD68" s="19">
        <f t="shared" si="158"/>
        <v>0</v>
      </c>
      <c r="AE68" s="17">
        <f t="shared" si="159"/>
        <v>0</v>
      </c>
      <c r="AF68" s="18">
        <f t="shared" si="159"/>
        <v>0</v>
      </c>
      <c r="AG68" s="18">
        <f t="shared" si="159"/>
        <v>0</v>
      </c>
      <c r="AH68" s="19">
        <f t="shared" si="160"/>
        <v>0</v>
      </c>
      <c r="AI68" s="17">
        <f t="shared" si="161"/>
        <v>0</v>
      </c>
      <c r="AJ68" s="18">
        <f t="shared" si="161"/>
        <v>60000</v>
      </c>
      <c r="AK68" s="18">
        <f t="shared" si="161"/>
        <v>60000</v>
      </c>
      <c r="AL68" s="19">
        <f t="shared" si="162"/>
        <v>60000</v>
      </c>
      <c r="AM68" s="17"/>
      <c r="AN68" s="18"/>
      <c r="AO68" s="18"/>
      <c r="AP68" s="20">
        <f t="shared" si="163"/>
        <v>0</v>
      </c>
      <c r="AQ68" s="17"/>
      <c r="AR68" s="18">
        <v>2580</v>
      </c>
      <c r="AS68" s="43">
        <v>2580</v>
      </c>
      <c r="AT68" s="20">
        <f t="shared" si="164"/>
        <v>2580</v>
      </c>
      <c r="AU68" s="17"/>
      <c r="AV68" s="18"/>
      <c r="AW68" s="43"/>
      <c r="AX68" s="20">
        <f t="shared" si="165"/>
        <v>0</v>
      </c>
      <c r="AY68" s="17">
        <f t="shared" si="166"/>
        <v>0</v>
      </c>
      <c r="AZ68" s="18">
        <f t="shared" si="166"/>
        <v>2580</v>
      </c>
      <c r="BA68" s="18">
        <f t="shared" si="166"/>
        <v>2580</v>
      </c>
      <c r="BB68" s="19">
        <f t="shared" si="167"/>
        <v>2580</v>
      </c>
      <c r="BC68" s="190">
        <f t="shared" si="168"/>
        <v>0</v>
      </c>
      <c r="BD68" s="84">
        <f t="shared" si="168"/>
        <v>62580</v>
      </c>
      <c r="BE68" s="84">
        <f t="shared" si="168"/>
        <v>62580</v>
      </c>
      <c r="BF68" s="170">
        <f t="shared" si="169"/>
        <v>62580</v>
      </c>
      <c r="BG68" s="83"/>
      <c r="BH68" s="18"/>
      <c r="BI68" s="43"/>
      <c r="BJ68" s="41">
        <f t="shared" si="170"/>
        <v>0</v>
      </c>
      <c r="BK68" s="44"/>
      <c r="BL68" s="43">
        <v>10000</v>
      </c>
      <c r="BM68" s="43">
        <v>10000</v>
      </c>
      <c r="BN68" s="41">
        <f t="shared" si="171"/>
        <v>10000</v>
      </c>
      <c r="BO68" s="44"/>
      <c r="BP68" s="43"/>
      <c r="BQ68" s="43"/>
      <c r="BR68" s="41">
        <f t="shared" si="172"/>
        <v>0</v>
      </c>
      <c r="BS68" s="17">
        <f t="shared" si="173"/>
        <v>0</v>
      </c>
      <c r="BT68" s="18">
        <f t="shared" si="173"/>
        <v>10000</v>
      </c>
      <c r="BU68" s="18">
        <f t="shared" si="173"/>
        <v>10000</v>
      </c>
      <c r="BV68" s="20">
        <f t="shared" si="174"/>
        <v>10000</v>
      </c>
      <c r="BW68" s="17">
        <f t="shared" si="175"/>
        <v>0</v>
      </c>
      <c r="BX68" s="18">
        <f t="shared" si="175"/>
        <v>12580</v>
      </c>
      <c r="BY68" s="18">
        <f t="shared" si="175"/>
        <v>12580</v>
      </c>
      <c r="BZ68" s="20">
        <f t="shared" si="176"/>
        <v>12580</v>
      </c>
      <c r="CA68" s="17">
        <f t="shared" si="177"/>
        <v>0</v>
      </c>
      <c r="CB68" s="18">
        <f t="shared" si="177"/>
        <v>72580</v>
      </c>
      <c r="CC68" s="18">
        <f t="shared" si="177"/>
        <v>72580</v>
      </c>
      <c r="CD68" s="20">
        <f t="shared" si="178"/>
        <v>72580</v>
      </c>
      <c r="CH68" s="3"/>
      <c r="CJ68" s="91">
        <f t="shared" si="179"/>
        <v>0</v>
      </c>
      <c r="CK68" s="91">
        <f t="shared" si="179"/>
        <v>10000</v>
      </c>
      <c r="CL68" s="91">
        <f t="shared" si="179"/>
        <v>10000</v>
      </c>
      <c r="CM68" s="91">
        <f t="shared" si="179"/>
        <v>10000</v>
      </c>
      <c r="CN68" s="91">
        <f t="shared" si="149"/>
        <v>0</v>
      </c>
      <c r="CO68" s="91">
        <f t="shared" si="149"/>
        <v>72580</v>
      </c>
      <c r="CP68" s="91">
        <f t="shared" si="149"/>
        <v>72580</v>
      </c>
      <c r="CQ68" s="91">
        <f t="shared" si="149"/>
        <v>72580</v>
      </c>
    </row>
    <row r="69" spans="1:95" ht="24" customHeight="1" outlineLevel="1" x14ac:dyDescent="0.3">
      <c r="A69" s="42">
        <v>8.6</v>
      </c>
      <c r="B69" s="28" t="s">
        <v>154</v>
      </c>
      <c r="C69" s="168"/>
      <c r="D69" s="18"/>
      <c r="E69" s="43"/>
      <c r="F69" s="170">
        <f t="shared" si="150"/>
        <v>0</v>
      </c>
      <c r="G69" s="83"/>
      <c r="H69" s="18"/>
      <c r="I69" s="18"/>
      <c r="J69" s="19">
        <f t="shared" si="151"/>
        <v>0</v>
      </c>
      <c r="K69" s="17"/>
      <c r="L69" s="18"/>
      <c r="M69" s="18"/>
      <c r="N69" s="19">
        <f t="shared" si="152"/>
        <v>0</v>
      </c>
      <c r="O69" s="17">
        <f t="shared" si="153"/>
        <v>0</v>
      </c>
      <c r="P69" s="43">
        <f t="shared" si="154"/>
        <v>0</v>
      </c>
      <c r="Q69" s="43">
        <f t="shared" si="154"/>
        <v>0</v>
      </c>
      <c r="R69" s="19">
        <f t="shared" si="155"/>
        <v>0</v>
      </c>
      <c r="S69" s="17"/>
      <c r="T69" s="18"/>
      <c r="U69" s="43"/>
      <c r="V69" s="19">
        <f t="shared" si="156"/>
        <v>0</v>
      </c>
      <c r="W69" s="17"/>
      <c r="X69" s="18"/>
      <c r="Y69" s="37"/>
      <c r="Z69" s="18">
        <f t="shared" si="157"/>
        <v>0</v>
      </c>
      <c r="AA69" s="83"/>
      <c r="AB69" s="18"/>
      <c r="AC69" s="43"/>
      <c r="AD69" s="19">
        <f t="shared" si="158"/>
        <v>0</v>
      </c>
      <c r="AE69" s="17">
        <f t="shared" si="159"/>
        <v>0</v>
      </c>
      <c r="AF69" s="18">
        <f t="shared" si="159"/>
        <v>0</v>
      </c>
      <c r="AG69" s="18">
        <f t="shared" si="159"/>
        <v>0</v>
      </c>
      <c r="AH69" s="19">
        <f t="shared" si="160"/>
        <v>0</v>
      </c>
      <c r="AI69" s="17">
        <f t="shared" si="161"/>
        <v>0</v>
      </c>
      <c r="AJ69" s="18">
        <f t="shared" si="161"/>
        <v>0</v>
      </c>
      <c r="AK69" s="18">
        <f t="shared" si="161"/>
        <v>0</v>
      </c>
      <c r="AL69" s="19">
        <f t="shared" si="162"/>
        <v>0</v>
      </c>
      <c r="AM69" s="17"/>
      <c r="AN69" s="18"/>
      <c r="AO69" s="18"/>
      <c r="AP69" s="20">
        <f t="shared" si="163"/>
        <v>0</v>
      </c>
      <c r="AQ69" s="17"/>
      <c r="AR69" s="18"/>
      <c r="AS69" s="43"/>
      <c r="AT69" s="20">
        <f t="shared" si="164"/>
        <v>0</v>
      </c>
      <c r="AU69" s="17"/>
      <c r="AV69" s="43"/>
      <c r="AW69" s="43"/>
      <c r="AX69" s="20">
        <f t="shared" si="165"/>
        <v>0</v>
      </c>
      <c r="AY69" s="17">
        <f t="shared" si="166"/>
        <v>0</v>
      </c>
      <c r="AZ69" s="18">
        <f t="shared" si="166"/>
        <v>0</v>
      </c>
      <c r="BA69" s="18">
        <f t="shared" si="166"/>
        <v>0</v>
      </c>
      <c r="BB69" s="19">
        <f t="shared" si="167"/>
        <v>0</v>
      </c>
      <c r="BC69" s="190">
        <f t="shared" si="168"/>
        <v>0</v>
      </c>
      <c r="BD69" s="84">
        <f t="shared" si="168"/>
        <v>0</v>
      </c>
      <c r="BE69" s="84">
        <f t="shared" si="168"/>
        <v>0</v>
      </c>
      <c r="BF69" s="170">
        <f t="shared" si="169"/>
        <v>0</v>
      </c>
      <c r="BG69" s="83"/>
      <c r="BH69" s="18"/>
      <c r="BI69" s="43"/>
      <c r="BJ69" s="41">
        <f t="shared" si="170"/>
        <v>0</v>
      </c>
      <c r="BK69" s="44"/>
      <c r="BL69" s="43"/>
      <c r="BM69" s="43"/>
      <c r="BN69" s="41">
        <f t="shared" si="171"/>
        <v>0</v>
      </c>
      <c r="BO69" s="44"/>
      <c r="BP69" s="43"/>
      <c r="BQ69" s="43"/>
      <c r="BR69" s="41">
        <f t="shared" si="172"/>
        <v>0</v>
      </c>
      <c r="BS69" s="17">
        <f t="shared" si="173"/>
        <v>0</v>
      </c>
      <c r="BT69" s="18">
        <f t="shared" si="173"/>
        <v>0</v>
      </c>
      <c r="BU69" s="18">
        <f t="shared" si="173"/>
        <v>0</v>
      </c>
      <c r="BV69" s="20">
        <f t="shared" si="174"/>
        <v>0</v>
      </c>
      <c r="BW69" s="17">
        <f t="shared" si="175"/>
        <v>0</v>
      </c>
      <c r="BX69" s="18">
        <f t="shared" si="175"/>
        <v>0</v>
      </c>
      <c r="BY69" s="18">
        <f t="shared" si="175"/>
        <v>0</v>
      </c>
      <c r="BZ69" s="20">
        <f t="shared" si="176"/>
        <v>0</v>
      </c>
      <c r="CA69" s="17">
        <f t="shared" si="177"/>
        <v>0</v>
      </c>
      <c r="CB69" s="18">
        <f t="shared" si="177"/>
        <v>0</v>
      </c>
      <c r="CC69" s="18">
        <f t="shared" si="177"/>
        <v>0</v>
      </c>
      <c r="CD69" s="20">
        <f t="shared" si="178"/>
        <v>0</v>
      </c>
      <c r="CH69" s="3"/>
      <c r="CJ69" s="91">
        <f t="shared" si="179"/>
        <v>0</v>
      </c>
      <c r="CK69" s="91">
        <f t="shared" si="179"/>
        <v>0</v>
      </c>
      <c r="CL69" s="91">
        <f t="shared" si="179"/>
        <v>0</v>
      </c>
      <c r="CM69" s="91">
        <f t="shared" si="179"/>
        <v>0</v>
      </c>
      <c r="CN69" s="91">
        <f t="shared" si="149"/>
        <v>0</v>
      </c>
      <c r="CO69" s="91">
        <f t="shared" si="149"/>
        <v>0</v>
      </c>
      <c r="CP69" s="91">
        <f t="shared" si="149"/>
        <v>0</v>
      </c>
      <c r="CQ69" s="91">
        <f t="shared" si="149"/>
        <v>0</v>
      </c>
    </row>
    <row r="70" spans="1:95" ht="25.5" outlineLevel="1" x14ac:dyDescent="0.3">
      <c r="A70" s="42">
        <v>8.6999999999999993</v>
      </c>
      <c r="B70" s="28" t="s">
        <v>79</v>
      </c>
      <c r="C70" s="174">
        <v>3700</v>
      </c>
      <c r="D70" s="18">
        <v>4000</v>
      </c>
      <c r="E70" s="43">
        <v>4000</v>
      </c>
      <c r="F70" s="170">
        <f t="shared" si="150"/>
        <v>300</v>
      </c>
      <c r="G70" s="83">
        <v>3700</v>
      </c>
      <c r="H70" s="18">
        <f>4000+4000</f>
        <v>8000</v>
      </c>
      <c r="I70" s="18">
        <v>4000</v>
      </c>
      <c r="J70" s="19">
        <f t="shared" si="151"/>
        <v>4300</v>
      </c>
      <c r="K70" s="17">
        <v>3700</v>
      </c>
      <c r="L70" s="18"/>
      <c r="M70" s="18"/>
      <c r="N70" s="19">
        <f t="shared" si="152"/>
        <v>-3700</v>
      </c>
      <c r="O70" s="17">
        <f t="shared" si="153"/>
        <v>11100</v>
      </c>
      <c r="P70" s="43">
        <f t="shared" si="154"/>
        <v>12000</v>
      </c>
      <c r="Q70" s="43">
        <f t="shared" si="154"/>
        <v>8000</v>
      </c>
      <c r="R70" s="19">
        <f t="shared" si="155"/>
        <v>900</v>
      </c>
      <c r="S70" s="17">
        <v>3700</v>
      </c>
      <c r="T70" s="18"/>
      <c r="U70" s="43"/>
      <c r="V70" s="19">
        <f t="shared" si="156"/>
        <v>-3700</v>
      </c>
      <c r="W70" s="17">
        <v>3700</v>
      </c>
      <c r="X70" s="18"/>
      <c r="Y70" s="37"/>
      <c r="Z70" s="18">
        <f t="shared" si="157"/>
        <v>-3700</v>
      </c>
      <c r="AA70" s="83">
        <v>3700</v>
      </c>
      <c r="AB70" s="43"/>
      <c r="AC70" s="43"/>
      <c r="AD70" s="19">
        <f t="shared" si="158"/>
        <v>-3700</v>
      </c>
      <c r="AE70" s="17">
        <f t="shared" si="159"/>
        <v>11100</v>
      </c>
      <c r="AF70" s="18">
        <f t="shared" si="159"/>
        <v>0</v>
      </c>
      <c r="AG70" s="18">
        <f t="shared" si="159"/>
        <v>0</v>
      </c>
      <c r="AH70" s="19">
        <f t="shared" si="160"/>
        <v>-11100</v>
      </c>
      <c r="AI70" s="17">
        <f t="shared" si="161"/>
        <v>22200</v>
      </c>
      <c r="AJ70" s="18">
        <f t="shared" si="161"/>
        <v>12000</v>
      </c>
      <c r="AK70" s="18">
        <f t="shared" si="161"/>
        <v>8000</v>
      </c>
      <c r="AL70" s="19">
        <f t="shared" si="162"/>
        <v>-10200</v>
      </c>
      <c r="AM70" s="17">
        <v>3700</v>
      </c>
      <c r="AN70" s="18"/>
      <c r="AO70" s="18"/>
      <c r="AP70" s="20">
        <f t="shared" si="163"/>
        <v>-3700</v>
      </c>
      <c r="AQ70" s="17">
        <v>3700</v>
      </c>
      <c r="AR70" s="18">
        <v>321.54000000000002</v>
      </c>
      <c r="AS70" s="43"/>
      <c r="AT70" s="20">
        <f t="shared" si="164"/>
        <v>-3378.46</v>
      </c>
      <c r="AU70" s="17">
        <v>3700</v>
      </c>
      <c r="AV70" s="18"/>
      <c r="AW70" s="43"/>
      <c r="AX70" s="20">
        <f t="shared" si="165"/>
        <v>-3700</v>
      </c>
      <c r="AY70" s="17">
        <f t="shared" si="166"/>
        <v>11100</v>
      </c>
      <c r="AZ70" s="18">
        <f t="shared" si="166"/>
        <v>321.54000000000002</v>
      </c>
      <c r="BA70" s="18">
        <f t="shared" si="166"/>
        <v>0</v>
      </c>
      <c r="BB70" s="19">
        <f t="shared" si="167"/>
        <v>-10778.46</v>
      </c>
      <c r="BC70" s="190">
        <f t="shared" si="168"/>
        <v>33300</v>
      </c>
      <c r="BD70" s="84">
        <f t="shared" si="168"/>
        <v>12321.54</v>
      </c>
      <c r="BE70" s="84">
        <f t="shared" si="168"/>
        <v>8000</v>
      </c>
      <c r="BF70" s="170">
        <f t="shared" si="169"/>
        <v>-20978.46</v>
      </c>
      <c r="BG70" s="83">
        <v>3700</v>
      </c>
      <c r="BH70" s="18">
        <v>8000</v>
      </c>
      <c r="BI70" s="43">
        <v>8000</v>
      </c>
      <c r="BJ70" s="41">
        <f t="shared" si="170"/>
        <v>4300</v>
      </c>
      <c r="BK70" s="44">
        <v>3700</v>
      </c>
      <c r="BL70" s="43">
        <v>15066</v>
      </c>
      <c r="BM70" s="43">
        <v>24740</v>
      </c>
      <c r="BN70" s="41">
        <f t="shared" si="171"/>
        <v>11366</v>
      </c>
      <c r="BO70" s="44">
        <v>3700</v>
      </c>
      <c r="BP70" s="43">
        <v>4134</v>
      </c>
      <c r="BQ70" s="43">
        <v>4134</v>
      </c>
      <c r="BR70" s="41">
        <f t="shared" si="172"/>
        <v>434</v>
      </c>
      <c r="BS70" s="17">
        <f t="shared" si="173"/>
        <v>11100</v>
      </c>
      <c r="BT70" s="18">
        <f t="shared" si="173"/>
        <v>27200</v>
      </c>
      <c r="BU70" s="18">
        <f t="shared" si="173"/>
        <v>36874</v>
      </c>
      <c r="BV70" s="20">
        <f t="shared" si="174"/>
        <v>16100</v>
      </c>
      <c r="BW70" s="17">
        <f t="shared" si="175"/>
        <v>22200</v>
      </c>
      <c r="BX70" s="18">
        <f t="shared" si="175"/>
        <v>27521.54</v>
      </c>
      <c r="BY70" s="18">
        <f t="shared" si="175"/>
        <v>36874</v>
      </c>
      <c r="BZ70" s="20">
        <f t="shared" si="176"/>
        <v>5321.5400000000009</v>
      </c>
      <c r="CA70" s="17">
        <f t="shared" si="177"/>
        <v>44400</v>
      </c>
      <c r="CB70" s="18">
        <f t="shared" si="177"/>
        <v>39521.54</v>
      </c>
      <c r="CC70" s="18">
        <f t="shared" si="177"/>
        <v>44874</v>
      </c>
      <c r="CD70" s="20">
        <f t="shared" si="178"/>
        <v>-4878.4599999999991</v>
      </c>
      <c r="CH70" s="3"/>
      <c r="CJ70" s="91">
        <f t="shared" si="179"/>
        <v>11100</v>
      </c>
      <c r="CK70" s="91">
        <f t="shared" si="179"/>
        <v>27200</v>
      </c>
      <c r="CL70" s="91">
        <f t="shared" si="179"/>
        <v>36874</v>
      </c>
      <c r="CM70" s="91">
        <f t="shared" si="179"/>
        <v>16100</v>
      </c>
      <c r="CN70" s="91">
        <f t="shared" si="149"/>
        <v>44400</v>
      </c>
      <c r="CO70" s="91">
        <f t="shared" si="149"/>
        <v>39521.54</v>
      </c>
      <c r="CP70" s="91">
        <f t="shared" si="149"/>
        <v>44874</v>
      </c>
      <c r="CQ70" s="91">
        <f t="shared" si="149"/>
        <v>-4878.4599999999991</v>
      </c>
    </row>
    <row r="71" spans="1:95" ht="16.5" outlineLevel="1" x14ac:dyDescent="0.3">
      <c r="A71" s="42">
        <v>8.4</v>
      </c>
      <c r="B71" s="28" t="s">
        <v>164</v>
      </c>
      <c r="C71" s="174">
        <v>415000</v>
      </c>
      <c r="D71" s="18">
        <v>101450</v>
      </c>
      <c r="E71" s="43">
        <v>101475</v>
      </c>
      <c r="F71" s="170">
        <f t="shared" si="150"/>
        <v>-313550</v>
      </c>
      <c r="G71" s="83">
        <v>126825</v>
      </c>
      <c r="H71" s="18"/>
      <c r="I71" s="18"/>
      <c r="J71" s="19">
        <f t="shared" si="151"/>
        <v>-126825</v>
      </c>
      <c r="K71" s="17"/>
      <c r="L71" s="18"/>
      <c r="M71" s="18"/>
      <c r="N71" s="19">
        <f t="shared" si="152"/>
        <v>0</v>
      </c>
      <c r="O71" s="17">
        <f t="shared" si="153"/>
        <v>541825</v>
      </c>
      <c r="P71" s="43">
        <f t="shared" si="154"/>
        <v>101450</v>
      </c>
      <c r="Q71" s="43">
        <f t="shared" si="154"/>
        <v>101475</v>
      </c>
      <c r="R71" s="19">
        <f t="shared" si="155"/>
        <v>-440375</v>
      </c>
      <c r="S71" s="17">
        <v>80000</v>
      </c>
      <c r="T71" s="18">
        <v>101450</v>
      </c>
      <c r="U71" s="43"/>
      <c r="V71" s="19">
        <f t="shared" si="156"/>
        <v>21450</v>
      </c>
      <c r="W71" s="17">
        <v>25000</v>
      </c>
      <c r="X71" s="18"/>
      <c r="Y71" s="37">
        <v>101425</v>
      </c>
      <c r="Z71" s="18">
        <f t="shared" si="157"/>
        <v>-25000</v>
      </c>
      <c r="AA71" s="83">
        <v>30000</v>
      </c>
      <c r="AB71" s="18"/>
      <c r="AC71" s="43"/>
      <c r="AD71" s="19">
        <f t="shared" si="158"/>
        <v>-30000</v>
      </c>
      <c r="AE71" s="17">
        <f t="shared" si="159"/>
        <v>135000</v>
      </c>
      <c r="AF71" s="18">
        <f t="shared" si="159"/>
        <v>101450</v>
      </c>
      <c r="AG71" s="18">
        <f t="shared" si="159"/>
        <v>101425</v>
      </c>
      <c r="AH71" s="19">
        <f t="shared" si="160"/>
        <v>-33550</v>
      </c>
      <c r="AI71" s="17">
        <f t="shared" si="161"/>
        <v>676825</v>
      </c>
      <c r="AJ71" s="18">
        <f t="shared" si="161"/>
        <v>202900</v>
      </c>
      <c r="AK71" s="18">
        <f t="shared" si="161"/>
        <v>202900</v>
      </c>
      <c r="AL71" s="19">
        <f t="shared" si="162"/>
        <v>-473925</v>
      </c>
      <c r="AM71" s="17"/>
      <c r="AN71" s="18"/>
      <c r="AO71" s="18"/>
      <c r="AP71" s="20">
        <f t="shared" si="163"/>
        <v>0</v>
      </c>
      <c r="AQ71" s="17"/>
      <c r="AR71" s="43"/>
      <c r="AS71" s="43"/>
      <c r="AT71" s="20">
        <f t="shared" si="164"/>
        <v>0</v>
      </c>
      <c r="AU71" s="17"/>
      <c r="AV71" s="18">
        <f>19200+48560+19660+101450</f>
        <v>188870</v>
      </c>
      <c r="AW71" s="43">
        <v>188870</v>
      </c>
      <c r="AX71" s="20">
        <f t="shared" si="165"/>
        <v>188870</v>
      </c>
      <c r="AY71" s="17">
        <f t="shared" si="166"/>
        <v>0</v>
      </c>
      <c r="AZ71" s="18">
        <f t="shared" si="166"/>
        <v>188870</v>
      </c>
      <c r="BA71" s="18">
        <f t="shared" si="166"/>
        <v>188870</v>
      </c>
      <c r="BB71" s="19">
        <f t="shared" si="167"/>
        <v>188870</v>
      </c>
      <c r="BC71" s="190">
        <f t="shared" si="168"/>
        <v>676825</v>
      </c>
      <c r="BD71" s="84">
        <f t="shared" si="168"/>
        <v>391770</v>
      </c>
      <c r="BE71" s="84">
        <f t="shared" si="168"/>
        <v>391770</v>
      </c>
      <c r="BF71" s="170">
        <f t="shared" si="169"/>
        <v>-285055</v>
      </c>
      <c r="BG71" s="83"/>
      <c r="BH71" s="18"/>
      <c r="BI71" s="43"/>
      <c r="BJ71" s="41">
        <f t="shared" si="170"/>
        <v>0</v>
      </c>
      <c r="BK71" s="44">
        <v>100000</v>
      </c>
      <c r="BL71" s="43"/>
      <c r="BM71" s="43"/>
      <c r="BN71" s="41">
        <f t="shared" si="171"/>
        <v>-100000</v>
      </c>
      <c r="BO71" s="44">
        <v>35000</v>
      </c>
      <c r="BP71" s="43"/>
      <c r="BQ71" s="43"/>
      <c r="BR71" s="41">
        <f t="shared" si="172"/>
        <v>-35000</v>
      </c>
      <c r="BS71" s="17">
        <f t="shared" si="173"/>
        <v>135000</v>
      </c>
      <c r="BT71" s="18">
        <f t="shared" si="173"/>
        <v>0</v>
      </c>
      <c r="BU71" s="18">
        <f t="shared" si="173"/>
        <v>0</v>
      </c>
      <c r="BV71" s="20">
        <f t="shared" si="174"/>
        <v>-135000</v>
      </c>
      <c r="BW71" s="17">
        <f t="shared" si="175"/>
        <v>135000</v>
      </c>
      <c r="BX71" s="18">
        <f t="shared" si="175"/>
        <v>188870</v>
      </c>
      <c r="BY71" s="18">
        <f t="shared" si="175"/>
        <v>188870</v>
      </c>
      <c r="BZ71" s="20">
        <f t="shared" si="176"/>
        <v>53870</v>
      </c>
      <c r="CA71" s="17">
        <f t="shared" si="177"/>
        <v>811825</v>
      </c>
      <c r="CB71" s="18">
        <f t="shared" si="177"/>
        <v>391770</v>
      </c>
      <c r="CC71" s="18">
        <f t="shared" si="177"/>
        <v>391770</v>
      </c>
      <c r="CD71" s="20">
        <f t="shared" si="178"/>
        <v>-420055</v>
      </c>
      <c r="CH71" s="3"/>
      <c r="CJ71" s="91">
        <f t="shared" si="179"/>
        <v>135000</v>
      </c>
      <c r="CK71" s="91">
        <f t="shared" si="179"/>
        <v>0</v>
      </c>
      <c r="CL71" s="91">
        <f t="shared" si="179"/>
        <v>0</v>
      </c>
      <c r="CM71" s="91">
        <f t="shared" si="179"/>
        <v>-135000</v>
      </c>
      <c r="CN71" s="91">
        <f t="shared" si="149"/>
        <v>811825</v>
      </c>
      <c r="CO71" s="91">
        <f t="shared" si="149"/>
        <v>391770</v>
      </c>
      <c r="CP71" s="91">
        <f t="shared" si="149"/>
        <v>391770</v>
      </c>
      <c r="CQ71" s="91">
        <f t="shared" si="149"/>
        <v>-420055</v>
      </c>
    </row>
    <row r="72" spans="1:95" ht="16.5" outlineLevel="1" x14ac:dyDescent="0.3">
      <c r="A72" s="42">
        <v>8.5</v>
      </c>
      <c r="B72" s="28" t="s">
        <v>166</v>
      </c>
      <c r="C72" s="168"/>
      <c r="D72" s="18"/>
      <c r="E72" s="43"/>
      <c r="F72" s="170">
        <f t="shared" si="150"/>
        <v>0</v>
      </c>
      <c r="G72" s="83"/>
      <c r="H72" s="18"/>
      <c r="I72" s="18"/>
      <c r="J72" s="19">
        <f t="shared" si="151"/>
        <v>0</v>
      </c>
      <c r="K72" s="17"/>
      <c r="L72" s="18"/>
      <c r="M72" s="18"/>
      <c r="N72" s="19"/>
      <c r="O72" s="17">
        <f t="shared" si="153"/>
        <v>0</v>
      </c>
      <c r="P72" s="43">
        <f t="shared" si="154"/>
        <v>0</v>
      </c>
      <c r="Q72" s="43">
        <f t="shared" si="154"/>
        <v>0</v>
      </c>
      <c r="R72" s="19">
        <f t="shared" si="155"/>
        <v>0</v>
      </c>
      <c r="S72" s="17"/>
      <c r="T72" s="18"/>
      <c r="U72" s="43"/>
      <c r="V72" s="19"/>
      <c r="W72" s="17"/>
      <c r="X72" s="18"/>
      <c r="Y72" s="37"/>
      <c r="Z72" s="18"/>
      <c r="AA72" s="83"/>
      <c r="AB72" s="18"/>
      <c r="AC72" s="43"/>
      <c r="AD72" s="19">
        <f t="shared" si="158"/>
        <v>0</v>
      </c>
      <c r="AE72" s="18"/>
      <c r="AF72" s="18">
        <f>T72+X72+AB72</f>
        <v>0</v>
      </c>
      <c r="AG72" s="18">
        <f>U72+Y72+AC72</f>
        <v>0</v>
      </c>
      <c r="AH72" s="19">
        <f t="shared" si="160"/>
        <v>0</v>
      </c>
      <c r="AI72" s="17">
        <f t="shared" si="161"/>
        <v>0</v>
      </c>
      <c r="AJ72" s="18">
        <f t="shared" si="161"/>
        <v>0</v>
      </c>
      <c r="AK72" s="18">
        <f t="shared" si="161"/>
        <v>0</v>
      </c>
      <c r="AL72" s="19">
        <f t="shared" si="162"/>
        <v>0</v>
      </c>
      <c r="AM72" s="18"/>
      <c r="AN72" s="18"/>
      <c r="AO72" s="18"/>
      <c r="AP72" s="18"/>
      <c r="AQ72" s="18"/>
      <c r="AR72" s="18"/>
      <c r="AS72" s="43"/>
      <c r="AT72" s="18"/>
      <c r="AU72" s="18"/>
      <c r="AV72" s="18"/>
      <c r="AW72" s="43"/>
      <c r="AX72" s="18"/>
      <c r="AY72" s="17">
        <f t="shared" si="166"/>
        <v>0</v>
      </c>
      <c r="AZ72" s="18">
        <f t="shared" si="166"/>
        <v>0</v>
      </c>
      <c r="BA72" s="18">
        <f t="shared" si="166"/>
        <v>0</v>
      </c>
      <c r="BB72" s="19">
        <f t="shared" si="167"/>
        <v>0</v>
      </c>
      <c r="BC72" s="190">
        <f t="shared" si="168"/>
        <v>0</v>
      </c>
      <c r="BD72" s="84">
        <f t="shared" si="168"/>
        <v>0</v>
      </c>
      <c r="BE72" s="84">
        <f t="shared" si="168"/>
        <v>0</v>
      </c>
      <c r="BF72" s="170">
        <f t="shared" si="169"/>
        <v>0</v>
      </c>
      <c r="BG72" s="83"/>
      <c r="BH72" s="18"/>
      <c r="BI72" s="43"/>
      <c r="BJ72" s="43"/>
      <c r="BK72" s="43"/>
      <c r="BL72" s="43"/>
      <c r="BM72" s="43"/>
      <c r="BN72" s="43"/>
      <c r="BO72" s="43"/>
      <c r="BP72" s="43"/>
      <c r="BQ72" s="43"/>
      <c r="BR72" s="41">
        <f t="shared" si="172"/>
        <v>0</v>
      </c>
      <c r="BS72" s="18"/>
      <c r="BT72" s="18">
        <f>BH72+BL72+BP72</f>
        <v>0</v>
      </c>
      <c r="BU72" s="18">
        <f>BI72+BM72+BQ72</f>
        <v>0</v>
      </c>
      <c r="BV72" s="18"/>
      <c r="BW72" s="18"/>
      <c r="BX72" s="18">
        <f>BT72+AZ72</f>
        <v>0</v>
      </c>
      <c r="BY72" s="18">
        <f>BU72+BA72</f>
        <v>0</v>
      </c>
      <c r="BZ72" s="18"/>
      <c r="CA72" s="17">
        <f t="shared" si="177"/>
        <v>0</v>
      </c>
      <c r="CB72" s="18">
        <f t="shared" si="177"/>
        <v>0</v>
      </c>
      <c r="CC72" s="18">
        <f t="shared" si="177"/>
        <v>0</v>
      </c>
      <c r="CD72" s="18"/>
      <c r="CH72" s="3"/>
      <c r="CJ72" s="91">
        <f t="shared" si="179"/>
        <v>0</v>
      </c>
      <c r="CK72" s="91">
        <f t="shared" si="179"/>
        <v>0</v>
      </c>
      <c r="CL72" s="91">
        <f t="shared" si="179"/>
        <v>0</v>
      </c>
      <c r="CM72" s="91">
        <f t="shared" si="179"/>
        <v>0</v>
      </c>
      <c r="CN72" s="91">
        <f t="shared" si="149"/>
        <v>0</v>
      </c>
      <c r="CO72" s="91">
        <f t="shared" si="149"/>
        <v>0</v>
      </c>
      <c r="CP72" s="91">
        <f t="shared" si="149"/>
        <v>0</v>
      </c>
      <c r="CQ72" s="91">
        <f t="shared" si="149"/>
        <v>0</v>
      </c>
    </row>
    <row r="73" spans="1:95" ht="22.5" customHeight="1" outlineLevel="1" x14ac:dyDescent="0.3">
      <c r="A73" s="42">
        <v>8.9</v>
      </c>
      <c r="B73" s="28" t="s">
        <v>29</v>
      </c>
      <c r="C73" s="168"/>
      <c r="D73" s="18"/>
      <c r="E73" s="43"/>
      <c r="F73" s="170">
        <f t="shared" si="150"/>
        <v>0</v>
      </c>
      <c r="G73" s="83"/>
      <c r="H73" s="18">
        <v>916500</v>
      </c>
      <c r="I73" s="18"/>
      <c r="J73" s="19">
        <f t="shared" si="151"/>
        <v>916500</v>
      </c>
      <c r="K73" s="17"/>
      <c r="L73" s="18"/>
      <c r="M73" s="18">
        <v>916500</v>
      </c>
      <c r="N73" s="19">
        <f t="shared" ref="N73:N104" si="180">L73-K73</f>
        <v>0</v>
      </c>
      <c r="O73" s="17">
        <f t="shared" si="153"/>
        <v>0</v>
      </c>
      <c r="P73" s="43">
        <f t="shared" si="154"/>
        <v>916500</v>
      </c>
      <c r="Q73" s="43">
        <f t="shared" si="154"/>
        <v>916500</v>
      </c>
      <c r="R73" s="19">
        <f t="shared" si="155"/>
        <v>916500</v>
      </c>
      <c r="S73" s="17"/>
      <c r="T73" s="18"/>
      <c r="U73" s="43"/>
      <c r="V73" s="19">
        <f t="shared" ref="V73:V81" si="181">T73-S73</f>
        <v>0</v>
      </c>
      <c r="W73" s="17"/>
      <c r="X73" s="18"/>
      <c r="Y73" s="37"/>
      <c r="Z73" s="18">
        <f t="shared" ref="Z73:Z85" si="182">X73-W73</f>
        <v>0</v>
      </c>
      <c r="AA73" s="83"/>
      <c r="AB73" s="18"/>
      <c r="AC73" s="43"/>
      <c r="AD73" s="19">
        <f t="shared" si="158"/>
        <v>0</v>
      </c>
      <c r="AE73" s="17">
        <f>S73+W73+AA73</f>
        <v>0</v>
      </c>
      <c r="AF73" s="18">
        <f>T73+X73+AB73</f>
        <v>0</v>
      </c>
      <c r="AG73" s="18">
        <f>U73+Y73+AC73</f>
        <v>0</v>
      </c>
      <c r="AH73" s="19">
        <f t="shared" si="160"/>
        <v>0</v>
      </c>
      <c r="AI73" s="17">
        <f t="shared" si="161"/>
        <v>0</v>
      </c>
      <c r="AJ73" s="18">
        <f t="shared" si="161"/>
        <v>916500</v>
      </c>
      <c r="AK73" s="18">
        <f t="shared" si="161"/>
        <v>916500</v>
      </c>
      <c r="AL73" s="19">
        <f t="shared" si="162"/>
        <v>916500</v>
      </c>
      <c r="AM73" s="17"/>
      <c r="AN73" s="18"/>
      <c r="AO73" s="18"/>
      <c r="AP73" s="20">
        <f t="shared" ref="AP73:AP80" si="183">AN73-AM73</f>
        <v>0</v>
      </c>
      <c r="AQ73" s="17"/>
      <c r="AR73" s="18"/>
      <c r="AS73" s="43"/>
      <c r="AT73" s="20">
        <f t="shared" ref="AT73:AT86" si="184">AR73-AQ73</f>
        <v>0</v>
      </c>
      <c r="AU73" s="17"/>
      <c r="AV73" s="18"/>
      <c r="AW73" s="43"/>
      <c r="AX73" s="20">
        <f t="shared" ref="AX73:AX86" si="185">AV73-AU73</f>
        <v>0</v>
      </c>
      <c r="AY73" s="17">
        <f t="shared" si="166"/>
        <v>0</v>
      </c>
      <c r="AZ73" s="18">
        <f t="shared" si="166"/>
        <v>0</v>
      </c>
      <c r="BA73" s="18">
        <f t="shared" si="166"/>
        <v>0</v>
      </c>
      <c r="BB73" s="19">
        <f t="shared" si="167"/>
        <v>0</v>
      </c>
      <c r="BC73" s="190">
        <f t="shared" si="168"/>
        <v>0</v>
      </c>
      <c r="BD73" s="84">
        <f t="shared" si="168"/>
        <v>916500</v>
      </c>
      <c r="BE73" s="84">
        <f t="shared" si="168"/>
        <v>916500</v>
      </c>
      <c r="BF73" s="170">
        <f t="shared" si="169"/>
        <v>916500</v>
      </c>
      <c r="BG73" s="83"/>
      <c r="BH73" s="18"/>
      <c r="BI73" s="43"/>
      <c r="BJ73" s="27">
        <f t="shared" ref="BJ73:BJ85" si="186">BH73-BG73</f>
        <v>0</v>
      </c>
      <c r="BK73" s="44"/>
      <c r="BL73" s="43"/>
      <c r="BM73" s="43"/>
      <c r="BN73" s="27">
        <f t="shared" ref="BN73:BN85" si="187">BL73-BK73</f>
        <v>0</v>
      </c>
      <c r="BO73" s="44"/>
      <c r="BP73" s="43"/>
      <c r="BQ73" s="43"/>
      <c r="BR73" s="27">
        <f t="shared" si="172"/>
        <v>0</v>
      </c>
      <c r="BS73" s="17">
        <f>BG73+BK73+BO73</f>
        <v>0</v>
      </c>
      <c r="BT73" s="18">
        <f>BH73+BL73+BP73</f>
        <v>0</v>
      </c>
      <c r="BU73" s="18">
        <f>BI73+BM73+BQ73</f>
        <v>0</v>
      </c>
      <c r="BV73" s="20">
        <f t="shared" ref="BV73:BV86" si="188">BT73-BS73</f>
        <v>0</v>
      </c>
      <c r="BW73" s="17">
        <f>BS73+AY73</f>
        <v>0</v>
      </c>
      <c r="BX73" s="18">
        <f>BT73+AZ73</f>
        <v>0</v>
      </c>
      <c r="BY73" s="18">
        <f>BU73+BA73</f>
        <v>0</v>
      </c>
      <c r="BZ73" s="20">
        <f t="shared" ref="BZ73:BZ86" si="189">BX73-BW73</f>
        <v>0</v>
      </c>
      <c r="CA73" s="17">
        <f t="shared" si="177"/>
        <v>0</v>
      </c>
      <c r="CB73" s="18">
        <f t="shared" si="177"/>
        <v>916500</v>
      </c>
      <c r="CC73" s="18">
        <f t="shared" si="177"/>
        <v>916500</v>
      </c>
      <c r="CD73" s="20">
        <f t="shared" ref="CD73:CD86" si="190">CB73-CA73</f>
        <v>916500</v>
      </c>
      <c r="CH73" s="3"/>
      <c r="CJ73" s="91">
        <f t="shared" si="179"/>
        <v>0</v>
      </c>
      <c r="CK73" s="91">
        <f t="shared" si="179"/>
        <v>0</v>
      </c>
      <c r="CL73" s="91">
        <f t="shared" si="179"/>
        <v>0</v>
      </c>
      <c r="CM73" s="91">
        <f t="shared" si="179"/>
        <v>0</v>
      </c>
      <c r="CN73" s="91">
        <f t="shared" si="149"/>
        <v>0</v>
      </c>
      <c r="CO73" s="91">
        <f t="shared" si="149"/>
        <v>916500</v>
      </c>
      <c r="CP73" s="91">
        <f t="shared" si="149"/>
        <v>916500</v>
      </c>
      <c r="CQ73" s="91">
        <f t="shared" si="149"/>
        <v>916500</v>
      </c>
    </row>
    <row r="74" spans="1:95" ht="16.5" x14ac:dyDescent="0.3">
      <c r="A74" s="45">
        <v>9</v>
      </c>
      <c r="B74" s="127" t="s">
        <v>80</v>
      </c>
      <c r="C74" s="168">
        <f>C75+C85+C88+C89+C86</f>
        <v>30000</v>
      </c>
      <c r="D74" s="31">
        <f>D75+D85+D88+D89+D86</f>
        <v>25549.16</v>
      </c>
      <c r="E74" s="31">
        <f>E75+E85+E88+E89+E86</f>
        <v>28911.87</v>
      </c>
      <c r="F74" s="170">
        <f t="shared" si="150"/>
        <v>-4450.84</v>
      </c>
      <c r="G74" s="89">
        <f>G75+G85+G88+G89+G86</f>
        <v>30000</v>
      </c>
      <c r="H74" s="31">
        <f>H75+H85+H88+H89+H86</f>
        <v>16799.16</v>
      </c>
      <c r="I74" s="31">
        <f>I75+I85+I88+I89+I86</f>
        <v>15799.16</v>
      </c>
      <c r="J74" s="19">
        <f t="shared" si="151"/>
        <v>-13200.84</v>
      </c>
      <c r="K74" s="31">
        <f>K75+K85+K88+K89+K86</f>
        <v>33000</v>
      </c>
      <c r="L74" s="31">
        <f>L75+L85+L88+L89+L86</f>
        <v>38662.149999999994</v>
      </c>
      <c r="M74" s="31">
        <f>M75+M85+M88+M89+M86</f>
        <v>19369.05</v>
      </c>
      <c r="N74" s="30">
        <f t="shared" si="180"/>
        <v>5662.1499999999942</v>
      </c>
      <c r="O74" s="31">
        <f t="shared" ref="O74:P74" si="191">O75+O85+O88+O89+O86</f>
        <v>93000</v>
      </c>
      <c r="P74" s="31">
        <f t="shared" si="191"/>
        <v>81010.47</v>
      </c>
      <c r="Q74" s="31">
        <f>Q75+Q85+Q88+Q89+Q86</f>
        <v>64080.08</v>
      </c>
      <c r="R74" s="30">
        <f t="shared" si="155"/>
        <v>-11989.529999999999</v>
      </c>
      <c r="S74" s="31">
        <f>S75+S85+S88+S89+S86</f>
        <v>35000</v>
      </c>
      <c r="T74" s="31">
        <f>T75+T85+T88+T89+T86</f>
        <v>2911.58</v>
      </c>
      <c r="U74" s="95">
        <f>U75+U85+U88+U89+U86</f>
        <v>101455.79</v>
      </c>
      <c r="V74" s="30">
        <f t="shared" si="181"/>
        <v>-32088.42</v>
      </c>
      <c r="W74" s="31">
        <f>W75+W85+W88+W89+W86</f>
        <v>35000</v>
      </c>
      <c r="X74" s="31">
        <f>X75+X85+X88+X89+X86</f>
        <v>9657.2900000000009</v>
      </c>
      <c r="Y74" s="30">
        <f>Y75+Y85+Y88+Y89+Y86</f>
        <v>12257.29</v>
      </c>
      <c r="Z74" s="31">
        <f t="shared" si="182"/>
        <v>-25342.71</v>
      </c>
      <c r="AA74" s="89">
        <f>AA75+AA85+AA88+AA89+AA86</f>
        <v>38000</v>
      </c>
      <c r="AB74" s="31">
        <f>AB75+AB85+AB88+AB89+AB86</f>
        <v>440</v>
      </c>
      <c r="AC74" s="95">
        <f>AC75+AC85+AC88+AC89+AC86</f>
        <v>70840</v>
      </c>
      <c r="AD74" s="30">
        <f t="shared" si="158"/>
        <v>-37560</v>
      </c>
      <c r="AE74" s="31">
        <f>AE75+AE85+AE88+AE89+AE86</f>
        <v>108000</v>
      </c>
      <c r="AF74" s="31">
        <f>AF75+AF85+AF88+AF89+AF86</f>
        <v>13008.87</v>
      </c>
      <c r="AG74" s="31">
        <f>AG75+AG85+AG88+AG89+AG86</f>
        <v>184553.08000000002</v>
      </c>
      <c r="AH74" s="95">
        <f>AD74+Z74+V74</f>
        <v>-94991.13</v>
      </c>
      <c r="AI74" s="31">
        <f>AI75+AI85+AI86+AI87</f>
        <v>195000</v>
      </c>
      <c r="AJ74" s="31">
        <f>AJ75+AJ85+AJ86+AJ87</f>
        <v>73743.659999999989</v>
      </c>
      <c r="AK74" s="31">
        <f>AK75+AK85+AK86+AK87</f>
        <v>248633.16</v>
      </c>
      <c r="AL74" s="30">
        <f t="shared" si="162"/>
        <v>-121256.34000000001</v>
      </c>
      <c r="AM74" s="31">
        <f>AM75+AM85+AM88+AM89+AM86</f>
        <v>35000</v>
      </c>
      <c r="AN74" s="31">
        <f>AN75+AN85+AN88+AN89+AN86</f>
        <v>440</v>
      </c>
      <c r="AO74" s="31">
        <f>AO75+AO85+AO88+AO89+AO86</f>
        <v>-69960</v>
      </c>
      <c r="AP74" s="32">
        <f t="shared" si="183"/>
        <v>-34560</v>
      </c>
      <c r="AQ74" s="31">
        <f>AQ75+AQ85+AQ88+AQ89+AQ86</f>
        <v>35000</v>
      </c>
      <c r="AR74" s="31">
        <f>AR75+AR85+AR88+AR89+AR86</f>
        <v>440</v>
      </c>
      <c r="AS74" s="95">
        <f>AS75+AS85+AS88+AS89+AS86</f>
        <v>11000</v>
      </c>
      <c r="AT74" s="32">
        <f t="shared" si="184"/>
        <v>-34560</v>
      </c>
      <c r="AU74" s="31">
        <f>AU75+AU85+AU88+AU89+AU86</f>
        <v>38000</v>
      </c>
      <c r="AV74" s="31">
        <f>AV75+AV85+AV88+AV89+AV86</f>
        <v>11220</v>
      </c>
      <c r="AW74" s="95">
        <f>AW75+AW85+AW88+AW89+AW86</f>
        <v>660</v>
      </c>
      <c r="AX74" s="32">
        <f t="shared" si="185"/>
        <v>-26780</v>
      </c>
      <c r="AY74" s="31">
        <f>SUM(AY75:AY86)</f>
        <v>108000</v>
      </c>
      <c r="AZ74" s="31">
        <f>AZ75+AZ85+AZ88+AZ89+AZ86</f>
        <v>12100</v>
      </c>
      <c r="BA74" s="31">
        <f>BA75+BA85+BA88+BA89+BA86</f>
        <v>-58300</v>
      </c>
      <c r="BB74" s="30">
        <f t="shared" si="167"/>
        <v>-95900</v>
      </c>
      <c r="BC74" s="168">
        <f>SUM(BC75:BC85)</f>
        <v>300000</v>
      </c>
      <c r="BD74" s="31">
        <f>BD75+BD85+BD88+BD89+BD86</f>
        <v>85843.659999999989</v>
      </c>
      <c r="BE74" s="31">
        <f>BE75+BE85+BE88+BE89+BE86</f>
        <v>190333.16</v>
      </c>
      <c r="BF74" s="178">
        <f t="shared" si="169"/>
        <v>-214156.34000000003</v>
      </c>
      <c r="BG74" s="89">
        <f>BG75+BG85+BG88+BG89+BG86</f>
        <v>30000</v>
      </c>
      <c r="BH74" s="31">
        <f>BH75+BH85+BH88+BH89+BH86</f>
        <v>756862.3</v>
      </c>
      <c r="BI74" s="95">
        <f>BI75+BI85+BI88+BI89+BI86</f>
        <v>756862.3</v>
      </c>
      <c r="BJ74" s="27">
        <f t="shared" si="186"/>
        <v>726862.3</v>
      </c>
      <c r="BK74" s="95">
        <f>BK75+BK85+BK88+BK89+BK86</f>
        <v>30000</v>
      </c>
      <c r="BL74" s="95">
        <f>BL75+BL85+BL88+BL89+BL86</f>
        <v>18606.5</v>
      </c>
      <c r="BM74" s="95">
        <f>BM75+BM85+BM88+BM89+BM86</f>
        <v>15717</v>
      </c>
      <c r="BN74" s="27">
        <f t="shared" si="187"/>
        <v>-11393.5</v>
      </c>
      <c r="BO74" s="95">
        <f>BO75+BO85+BO88+BO89+BO86</f>
        <v>33000</v>
      </c>
      <c r="BP74" s="95">
        <f>BP75+BP85+BP88+BP89+BP86</f>
        <v>1407614.6</v>
      </c>
      <c r="BQ74" s="95">
        <f>BQ75+BQ85+BQ88+BQ89+BQ86</f>
        <v>4673268.84</v>
      </c>
      <c r="BR74" s="27">
        <f t="shared" si="172"/>
        <v>1374614.6</v>
      </c>
      <c r="BS74" s="31">
        <f>SUM(BS75:BS85)</f>
        <v>90000</v>
      </c>
      <c r="BT74" s="31">
        <f>BT75+BT85+BT88+BT89+BT86</f>
        <v>2183083.4000000004</v>
      </c>
      <c r="BU74" s="31">
        <f>BU75+BU85+BU88+BU89+BU86</f>
        <v>5445848.1400000006</v>
      </c>
      <c r="BV74" s="32">
        <f t="shared" si="188"/>
        <v>2093083.4000000004</v>
      </c>
      <c r="BW74" s="31">
        <f>BW75+BW85+BW88+BW89+BW86</f>
        <v>201000</v>
      </c>
      <c r="BX74" s="31">
        <f>BX75+BX85+BX88+BX89+BX86</f>
        <v>2195183.4000000004</v>
      </c>
      <c r="BY74" s="31">
        <f>BY75+BY85+BY88+BY89+BY86</f>
        <v>5387548.1400000006</v>
      </c>
      <c r="BZ74" s="32">
        <f t="shared" si="189"/>
        <v>1994183.4000000004</v>
      </c>
      <c r="CA74" s="31">
        <f>CA75+CA85+CA88+CA89+CA86</f>
        <v>402000</v>
      </c>
      <c r="CB74" s="31">
        <f>CB75+CB85+CB88+CB89+CB86</f>
        <v>2263759.58</v>
      </c>
      <c r="CC74" s="31">
        <f>CC75+CC85+CC88+CC89+CC86</f>
        <v>5636181.3000000007</v>
      </c>
      <c r="CD74" s="32">
        <f t="shared" si="190"/>
        <v>1861759.58</v>
      </c>
      <c r="CH74" s="3"/>
      <c r="CJ74" s="208">
        <f>CJ75+CJ88+CJ89+CJ90</f>
        <v>881986.86</v>
      </c>
      <c r="CK74" s="208">
        <f>CK75+CK88+CK89+CK90</f>
        <v>1492212.1800000002</v>
      </c>
      <c r="CL74" s="208">
        <f>CL75+CL88+CL89+CL90</f>
        <v>1413274.1</v>
      </c>
      <c r="CM74" s="208">
        <f>CM75+CM88+CM89+CM90</f>
        <v>610225.32000000007</v>
      </c>
      <c r="CN74" s="208">
        <f t="shared" si="149"/>
        <v>1190986.8599999999</v>
      </c>
      <c r="CO74" s="208">
        <f t="shared" si="149"/>
        <v>1598331.5200000003</v>
      </c>
      <c r="CP74" s="208">
        <f t="shared" si="149"/>
        <v>1603607.2600000002</v>
      </c>
      <c r="CQ74" s="208">
        <f t="shared" si="149"/>
        <v>407344.66000000003</v>
      </c>
    </row>
    <row r="75" spans="1:95" ht="16.5" x14ac:dyDescent="0.3">
      <c r="A75" s="9"/>
      <c r="B75" s="123" t="s">
        <v>81</v>
      </c>
      <c r="C75" s="179">
        <v>20000</v>
      </c>
      <c r="D75" s="46">
        <f>D76+D77+D78+D79+D80+D83+D84+D81+D82</f>
        <v>25549.16</v>
      </c>
      <c r="E75" s="46">
        <f>E76+E77+E78+E79+E80+E83+E84+E81+E82</f>
        <v>28911.87</v>
      </c>
      <c r="F75" s="170">
        <f t="shared" si="150"/>
        <v>5549.16</v>
      </c>
      <c r="G75" s="130">
        <v>20000</v>
      </c>
      <c r="H75" s="46">
        <f>H76+H77+H78+H79+H80+H83+H84+H81+H82</f>
        <v>15799.16</v>
      </c>
      <c r="I75" s="46">
        <f>I76+I77+I78+I79+I80+I83+I84+I81+I82</f>
        <v>15799.16</v>
      </c>
      <c r="J75" s="19">
        <f t="shared" si="151"/>
        <v>-4200.84</v>
      </c>
      <c r="K75" s="46">
        <v>20000</v>
      </c>
      <c r="L75" s="46">
        <f>L76+L77+L78+L79+L80+L83+L84+L81+L82+18819.89</f>
        <v>38662.149999999994</v>
      </c>
      <c r="M75" s="46">
        <f>M76+M77+M78+M79+M80+M83+M84+M81+M82</f>
        <v>19369.05</v>
      </c>
      <c r="N75" s="30">
        <f t="shared" si="180"/>
        <v>18662.149999999994</v>
      </c>
      <c r="O75" s="95">
        <f t="shared" ref="O75:Q89" si="192">K75+G75+C75</f>
        <v>60000</v>
      </c>
      <c r="P75" s="95">
        <f t="shared" si="192"/>
        <v>80010.47</v>
      </c>
      <c r="Q75" s="95">
        <f t="shared" si="192"/>
        <v>64080.08</v>
      </c>
      <c r="R75" s="30">
        <f t="shared" si="155"/>
        <v>20010.47</v>
      </c>
      <c r="S75" s="46">
        <v>25000</v>
      </c>
      <c r="T75" s="46">
        <f>T76+T77+T78+T79+T80+T83+T84+T81+T82+1455.79</f>
        <v>2911.58</v>
      </c>
      <c r="U75" s="128">
        <f>U76+U77+U78+U79+U80+U83+U84+U81+U82</f>
        <v>1455.79</v>
      </c>
      <c r="V75" s="30">
        <f t="shared" si="181"/>
        <v>-22088.42</v>
      </c>
      <c r="W75" s="46">
        <v>25000</v>
      </c>
      <c r="X75" s="46">
        <f>X76+X77+X78+X79+X80+X83+X84+X81+X82</f>
        <v>9657.2900000000009</v>
      </c>
      <c r="Y75" s="129">
        <f>Y76+Y77+Y78+Y79+Y80+Y83+Y84+Y81+Y82</f>
        <v>12257.29</v>
      </c>
      <c r="Z75" s="31">
        <f>X75-W75</f>
        <v>-15342.71</v>
      </c>
      <c r="AA75" s="130">
        <v>25000</v>
      </c>
      <c r="AB75" s="46">
        <f>AB76+AB77+AB78+AB79+AB80+AB83+AB84+AB81+AB82</f>
        <v>440</v>
      </c>
      <c r="AC75" s="128">
        <f>AC76+AC77+AC78+AC79+AC80+AC83+AC84+AC81+AC82</f>
        <v>70840</v>
      </c>
      <c r="AD75" s="19">
        <f t="shared" si="158"/>
        <v>-24560</v>
      </c>
      <c r="AE75" s="46">
        <f t="shared" ref="AE75:AG93" si="193">S75+W75+AA75</f>
        <v>75000</v>
      </c>
      <c r="AF75" s="131">
        <f t="shared" si="193"/>
        <v>13008.87</v>
      </c>
      <c r="AG75" s="131">
        <f>U75+Y75+AC75</f>
        <v>84553.08</v>
      </c>
      <c r="AH75" s="19">
        <f t="shared" ref="AH75:AH104" si="194">AF75-AE75</f>
        <v>-61991.13</v>
      </c>
      <c r="AI75" s="131">
        <f>AE75+O75</f>
        <v>135000</v>
      </c>
      <c r="AJ75" s="131">
        <f>AJ76+AJ77+AJ78+AJ79+AJ80+AJ83+AJ84</f>
        <v>72743.659999999989</v>
      </c>
      <c r="AK75" s="131">
        <f>AK76+AK77+AK78+AK79+AK80+AK83+AK84</f>
        <v>148633.16</v>
      </c>
      <c r="AL75" s="30">
        <f t="shared" si="162"/>
        <v>-62256.340000000011</v>
      </c>
      <c r="AM75" s="46">
        <v>25000</v>
      </c>
      <c r="AN75" s="46">
        <f>AN76+AN77+AN78+AN79+AN80+AN84</f>
        <v>440</v>
      </c>
      <c r="AO75" s="46">
        <f>AO76+AO77+AO78+AO79+AO80+AO84</f>
        <v>-69960</v>
      </c>
      <c r="AP75" s="32">
        <f t="shared" si="183"/>
        <v>-24560</v>
      </c>
      <c r="AQ75" s="46">
        <v>25000</v>
      </c>
      <c r="AR75" s="46">
        <f>AR76+AR77+AR78+AR79+AR80+AR83+AR84+AR81+AR82</f>
        <v>440</v>
      </c>
      <c r="AS75" s="128">
        <f>AS76+AS77+AS78+AS79+AS80+AS83+AS84+AS81+AS82</f>
        <v>11000</v>
      </c>
      <c r="AT75" s="32">
        <f t="shared" si="184"/>
        <v>-24560</v>
      </c>
      <c r="AU75" s="46">
        <v>25000</v>
      </c>
      <c r="AV75" s="46">
        <f>AV76+AV77+AV78+AV79+AV80+AV83+AV84+AV81+AV82</f>
        <v>11220</v>
      </c>
      <c r="AW75" s="128">
        <f>AW76+AW77+AW78+AW79+AW80+AW83+AW84+AW81+AW82</f>
        <v>660</v>
      </c>
      <c r="AX75" s="20">
        <f t="shared" si="185"/>
        <v>-13780</v>
      </c>
      <c r="AY75" s="46">
        <f t="shared" ref="AY75:BA86" si="195">AM75+AQ75+AU75</f>
        <v>75000</v>
      </c>
      <c r="AZ75" s="131">
        <f t="shared" si="195"/>
        <v>12100</v>
      </c>
      <c r="BA75" s="131">
        <f t="shared" si="195"/>
        <v>-58300</v>
      </c>
      <c r="BB75" s="30">
        <f t="shared" si="167"/>
        <v>-62900</v>
      </c>
      <c r="BC75" s="191">
        <f t="shared" ref="BC75:BE86" si="196">(AI75+AY75)</f>
        <v>210000</v>
      </c>
      <c r="BD75" s="96">
        <f t="shared" si="196"/>
        <v>84843.659999999989</v>
      </c>
      <c r="BE75" s="96">
        <f t="shared" si="196"/>
        <v>90333.16</v>
      </c>
      <c r="BF75" s="178">
        <f t="shared" si="169"/>
        <v>-125156.34000000001</v>
      </c>
      <c r="BG75" s="130">
        <v>20000</v>
      </c>
      <c r="BH75" s="46">
        <f>BH76+BH77+BH78+BH79+BH80+BH83+BH84+BH81+BH82</f>
        <v>0</v>
      </c>
      <c r="BI75" s="128">
        <f>BI76+BI77+BI78+BI79+BI80+BI83+BI84+BI81+BI82</f>
        <v>0</v>
      </c>
      <c r="BJ75" s="27">
        <f t="shared" si="186"/>
        <v>-20000</v>
      </c>
      <c r="BK75" s="128">
        <v>20000</v>
      </c>
      <c r="BL75" s="128">
        <f>BL76+BL77+BL78+BL79+BL80+BL83+BL84+BL81+BL82</f>
        <v>3329.5</v>
      </c>
      <c r="BM75" s="128">
        <f>BM76+BM77+BM78+BM79+BM80+BM83+BM84+BM81+BM82</f>
        <v>440</v>
      </c>
      <c r="BN75" s="41">
        <f t="shared" si="187"/>
        <v>-16670.5</v>
      </c>
      <c r="BO75" s="128">
        <v>20000</v>
      </c>
      <c r="BP75" s="128">
        <f>BP76+BP77+BP78+BP79+BP80+BP83+BP84+BP81+BP82</f>
        <v>16053</v>
      </c>
      <c r="BQ75" s="128">
        <f>BQ76+BQ77+BQ78+BQ79+BQ80+BQ83+BQ84+BQ81+BQ82</f>
        <v>13453</v>
      </c>
      <c r="BR75" s="27">
        <f t="shared" si="172"/>
        <v>-3947</v>
      </c>
      <c r="BS75" s="17">
        <f t="shared" ref="BS75:BU88" si="197">BG75+BK75+BO75</f>
        <v>60000</v>
      </c>
      <c r="BT75" s="18">
        <f t="shared" si="197"/>
        <v>19382.5</v>
      </c>
      <c r="BU75" s="18">
        <f>BI75+BM75+BQ75</f>
        <v>13893</v>
      </c>
      <c r="BV75" s="20">
        <f t="shared" si="188"/>
        <v>-40617.5</v>
      </c>
      <c r="BW75" s="17">
        <f t="shared" ref="BW75:BY86" si="198">BS75+AY75</f>
        <v>135000</v>
      </c>
      <c r="BX75" s="18">
        <f t="shared" si="198"/>
        <v>31482.5</v>
      </c>
      <c r="BY75" s="18">
        <f t="shared" si="198"/>
        <v>-44407</v>
      </c>
      <c r="BZ75" s="20">
        <f t="shared" si="189"/>
        <v>-103517.5</v>
      </c>
      <c r="CA75" s="132">
        <f>BW75+AI75</f>
        <v>270000</v>
      </c>
      <c r="CB75" s="131">
        <f>CB76+CB77+CB78+CB79+CB80+CB83</f>
        <v>99058.68</v>
      </c>
      <c r="CC75" s="131">
        <f>CC76+CC77+CC78+CC79+CC80+CC83+CC84</f>
        <v>104226.15999999999</v>
      </c>
      <c r="CD75" s="32">
        <f t="shared" si="190"/>
        <v>-170941.32</v>
      </c>
      <c r="CH75" s="3"/>
      <c r="CJ75" s="208">
        <f>SUM(CJ76:CJ84)</f>
        <v>0</v>
      </c>
      <c r="CK75" s="208">
        <f>SUM(CK76:CK84)</f>
        <v>19382.5</v>
      </c>
      <c r="CL75" s="208">
        <f>SUM(CL76:CL84)</f>
        <v>13893</v>
      </c>
      <c r="CM75" s="208">
        <f>SUM(CM76:CM84)</f>
        <v>19382.5</v>
      </c>
      <c r="CN75" s="91">
        <f t="shared" si="149"/>
        <v>210000</v>
      </c>
      <c r="CO75" s="91">
        <f t="shared" si="149"/>
        <v>124501.84</v>
      </c>
      <c r="CP75" s="91">
        <f t="shared" si="149"/>
        <v>104226.16</v>
      </c>
      <c r="CQ75" s="91">
        <f t="shared" si="149"/>
        <v>-85498.16</v>
      </c>
    </row>
    <row r="76" spans="1:95" ht="16.5" outlineLevel="1" x14ac:dyDescent="0.3">
      <c r="A76" s="9"/>
      <c r="B76" s="26" t="s">
        <v>82</v>
      </c>
      <c r="C76" s="168"/>
      <c r="D76" s="18">
        <v>25000</v>
      </c>
      <c r="E76" s="43">
        <v>28500</v>
      </c>
      <c r="F76" s="170">
        <f t="shared" si="150"/>
        <v>25000</v>
      </c>
      <c r="G76" s="89"/>
      <c r="H76" s="18"/>
      <c r="I76" s="43"/>
      <c r="J76" s="19">
        <f t="shared" si="151"/>
        <v>0</v>
      </c>
      <c r="K76" s="25"/>
      <c r="L76" s="18">
        <v>610.5</v>
      </c>
      <c r="M76" s="18"/>
      <c r="N76" s="19">
        <f t="shared" si="180"/>
        <v>610.5</v>
      </c>
      <c r="O76" s="17">
        <f t="shared" ref="O76:Q93" si="199">C76+G76+K76</f>
        <v>0</v>
      </c>
      <c r="P76" s="43">
        <f t="shared" si="192"/>
        <v>25610.5</v>
      </c>
      <c r="Q76" s="43">
        <f t="shared" si="192"/>
        <v>28500</v>
      </c>
      <c r="R76" s="19">
        <f t="shared" si="155"/>
        <v>25610.5</v>
      </c>
      <c r="S76" s="25"/>
      <c r="T76" s="18"/>
      <c r="U76" s="43"/>
      <c r="V76" s="19">
        <f t="shared" si="181"/>
        <v>0</v>
      </c>
      <c r="W76" s="25"/>
      <c r="X76" s="18"/>
      <c r="Y76" s="37">
        <v>2600</v>
      </c>
      <c r="Z76" s="18">
        <f t="shared" si="182"/>
        <v>0</v>
      </c>
      <c r="AA76" s="89"/>
      <c r="AB76" s="18"/>
      <c r="AC76" s="43">
        <v>70400</v>
      </c>
      <c r="AD76" s="19">
        <f t="shared" si="158"/>
        <v>0</v>
      </c>
      <c r="AE76" s="17">
        <f t="shared" si="193"/>
        <v>0</v>
      </c>
      <c r="AF76" s="18">
        <f t="shared" si="193"/>
        <v>0</v>
      </c>
      <c r="AG76" s="18">
        <f t="shared" si="193"/>
        <v>73000</v>
      </c>
      <c r="AH76" s="19">
        <f t="shared" si="194"/>
        <v>0</v>
      </c>
      <c r="AI76" s="17">
        <f t="shared" ref="AI76:AK93" si="200">AE76+O76</f>
        <v>0</v>
      </c>
      <c r="AJ76" s="18">
        <f t="shared" si="200"/>
        <v>25610.5</v>
      </c>
      <c r="AK76" s="18">
        <f t="shared" si="200"/>
        <v>101500</v>
      </c>
      <c r="AL76" s="19">
        <f t="shared" si="162"/>
        <v>25610.5</v>
      </c>
      <c r="AM76" s="25"/>
      <c r="AN76" s="18"/>
      <c r="AO76" s="18">
        <v>-70400</v>
      </c>
      <c r="AP76" s="20">
        <f t="shared" si="183"/>
        <v>0</v>
      </c>
      <c r="AQ76" s="25"/>
      <c r="AR76" s="18"/>
      <c r="AS76" s="43"/>
      <c r="AT76" s="20">
        <f t="shared" si="184"/>
        <v>0</v>
      </c>
      <c r="AU76" s="25"/>
      <c r="AV76" s="18"/>
      <c r="AW76" s="43"/>
      <c r="AX76" s="20">
        <f t="shared" si="185"/>
        <v>0</v>
      </c>
      <c r="AY76" s="17">
        <f t="shared" si="195"/>
        <v>0</v>
      </c>
      <c r="AZ76" s="18">
        <f t="shared" si="195"/>
        <v>0</v>
      </c>
      <c r="BA76" s="18">
        <f t="shared" si="195"/>
        <v>-70400</v>
      </c>
      <c r="BB76" s="19">
        <f t="shared" si="167"/>
        <v>0</v>
      </c>
      <c r="BC76" s="190">
        <f t="shared" si="196"/>
        <v>0</v>
      </c>
      <c r="BD76" s="84">
        <f t="shared" si="196"/>
        <v>25610.5</v>
      </c>
      <c r="BE76" s="84">
        <f t="shared" si="196"/>
        <v>31100</v>
      </c>
      <c r="BF76" s="170">
        <f t="shared" si="169"/>
        <v>25610.5</v>
      </c>
      <c r="BG76" s="89"/>
      <c r="BH76" s="18"/>
      <c r="BI76" s="43"/>
      <c r="BJ76" s="41">
        <f t="shared" si="186"/>
        <v>0</v>
      </c>
      <c r="BK76" s="90"/>
      <c r="BL76" s="43">
        <v>2889.5</v>
      </c>
      <c r="BM76" s="43"/>
      <c r="BN76" s="41">
        <f t="shared" si="187"/>
        <v>2889.5</v>
      </c>
      <c r="BO76" s="90"/>
      <c r="BP76" s="43">
        <v>2600</v>
      </c>
      <c r="BQ76" s="43"/>
      <c r="BR76" s="41">
        <f t="shared" si="172"/>
        <v>2600</v>
      </c>
      <c r="BS76" s="17">
        <f t="shared" si="197"/>
        <v>0</v>
      </c>
      <c r="BT76" s="18">
        <f t="shared" si="197"/>
        <v>5489.5</v>
      </c>
      <c r="BU76" s="18">
        <f t="shared" si="197"/>
        <v>0</v>
      </c>
      <c r="BV76" s="20">
        <f t="shared" si="188"/>
        <v>5489.5</v>
      </c>
      <c r="BW76" s="17">
        <f t="shared" si="198"/>
        <v>0</v>
      </c>
      <c r="BX76" s="18">
        <f t="shared" si="198"/>
        <v>5489.5</v>
      </c>
      <c r="BY76" s="18">
        <f t="shared" si="198"/>
        <v>-70400</v>
      </c>
      <c r="BZ76" s="20">
        <f t="shared" si="189"/>
        <v>5489.5</v>
      </c>
      <c r="CA76" s="128">
        <f t="shared" ref="CA76:CC90" si="201">BW76+AI76</f>
        <v>0</v>
      </c>
      <c r="CB76" s="18">
        <f t="shared" si="201"/>
        <v>31100</v>
      </c>
      <c r="CC76" s="18">
        <f t="shared" si="201"/>
        <v>31100</v>
      </c>
      <c r="CD76" s="20">
        <f t="shared" si="190"/>
        <v>31100</v>
      </c>
      <c r="CH76" s="3"/>
      <c r="CJ76" s="91">
        <f t="shared" ref="CJ76:CM90" si="202">BG76+BK76+BO76</f>
        <v>0</v>
      </c>
      <c r="CK76" s="91">
        <f t="shared" si="202"/>
        <v>5489.5</v>
      </c>
      <c r="CL76" s="91">
        <f t="shared" si="202"/>
        <v>0</v>
      </c>
      <c r="CM76" s="91">
        <f t="shared" si="202"/>
        <v>5489.5</v>
      </c>
      <c r="CN76" s="91">
        <f t="shared" si="149"/>
        <v>0</v>
      </c>
      <c r="CO76" s="91">
        <f t="shared" si="149"/>
        <v>31100</v>
      </c>
      <c r="CP76" s="91">
        <f t="shared" si="149"/>
        <v>31100</v>
      </c>
      <c r="CQ76" s="91">
        <f t="shared" si="149"/>
        <v>31100</v>
      </c>
    </row>
    <row r="77" spans="1:95" ht="16.5" outlineLevel="1" x14ac:dyDescent="0.3">
      <c r="A77" s="9"/>
      <c r="B77" s="26" t="s">
        <v>83</v>
      </c>
      <c r="C77" s="168"/>
      <c r="D77" s="18"/>
      <c r="E77" s="43"/>
      <c r="F77" s="170">
        <f t="shared" si="150"/>
        <v>0</v>
      </c>
      <c r="G77" s="89"/>
      <c r="H77" s="17">
        <f>5250+10000</f>
        <v>15250</v>
      </c>
      <c r="I77" s="43">
        <f>10000+5250</f>
        <v>15250</v>
      </c>
      <c r="J77" s="19">
        <f t="shared" si="151"/>
        <v>15250</v>
      </c>
      <c r="K77" s="25"/>
      <c r="L77" s="18"/>
      <c r="M77" s="18"/>
      <c r="N77" s="19">
        <f t="shared" si="180"/>
        <v>0</v>
      </c>
      <c r="O77" s="17">
        <f t="shared" si="199"/>
        <v>0</v>
      </c>
      <c r="P77" s="43">
        <f t="shared" si="192"/>
        <v>15250</v>
      </c>
      <c r="Q77" s="43">
        <f t="shared" si="192"/>
        <v>15250</v>
      </c>
      <c r="R77" s="19">
        <f t="shared" si="155"/>
        <v>15250</v>
      </c>
      <c r="S77" s="25"/>
      <c r="T77" s="18"/>
      <c r="U77" s="43"/>
      <c r="V77" s="19">
        <f t="shared" si="181"/>
        <v>0</v>
      </c>
      <c r="W77" s="25"/>
      <c r="X77" s="18">
        <v>9300</v>
      </c>
      <c r="Y77" s="19">
        <v>9300</v>
      </c>
      <c r="Z77" s="18">
        <f t="shared" si="182"/>
        <v>9300</v>
      </c>
      <c r="AA77" s="89"/>
      <c r="AB77" s="18"/>
      <c r="AC77" s="18"/>
      <c r="AD77" s="19">
        <f t="shared" si="158"/>
        <v>0</v>
      </c>
      <c r="AE77" s="17">
        <f t="shared" si="193"/>
        <v>0</v>
      </c>
      <c r="AF77" s="18">
        <f t="shared" si="193"/>
        <v>9300</v>
      </c>
      <c r="AG77" s="18">
        <f t="shared" si="193"/>
        <v>9300</v>
      </c>
      <c r="AH77" s="19">
        <f t="shared" si="194"/>
        <v>9300</v>
      </c>
      <c r="AI77" s="17">
        <f t="shared" si="200"/>
        <v>0</v>
      </c>
      <c r="AJ77" s="18">
        <f t="shared" si="200"/>
        <v>24550</v>
      </c>
      <c r="AK77" s="18">
        <f t="shared" si="200"/>
        <v>24550</v>
      </c>
      <c r="AL77" s="19">
        <f t="shared" si="162"/>
        <v>24550</v>
      </c>
      <c r="AM77" s="25"/>
      <c r="AN77" s="18"/>
      <c r="AO77" s="18"/>
      <c r="AP77" s="20">
        <f t="shared" si="183"/>
        <v>0</v>
      </c>
      <c r="AQ77" s="25"/>
      <c r="AR77" s="18"/>
      <c r="AS77" s="43">
        <v>10560</v>
      </c>
      <c r="AT77" s="20">
        <f t="shared" si="184"/>
        <v>0</v>
      </c>
      <c r="AU77" s="25"/>
      <c r="AV77" s="18">
        <v>10560</v>
      </c>
      <c r="AW77" s="43"/>
      <c r="AX77" s="20">
        <f t="shared" si="185"/>
        <v>10560</v>
      </c>
      <c r="AY77" s="17">
        <f t="shared" si="195"/>
        <v>0</v>
      </c>
      <c r="AZ77" s="18">
        <f t="shared" si="195"/>
        <v>10560</v>
      </c>
      <c r="BA77" s="18">
        <f t="shared" si="195"/>
        <v>10560</v>
      </c>
      <c r="BB77" s="19">
        <f t="shared" si="167"/>
        <v>10560</v>
      </c>
      <c r="BC77" s="190">
        <f t="shared" si="196"/>
        <v>0</v>
      </c>
      <c r="BD77" s="84">
        <f t="shared" si="196"/>
        <v>35110</v>
      </c>
      <c r="BE77" s="84">
        <f t="shared" si="196"/>
        <v>35110</v>
      </c>
      <c r="BF77" s="170">
        <f t="shared" si="169"/>
        <v>35110</v>
      </c>
      <c r="BG77" s="89"/>
      <c r="BH77" s="18"/>
      <c r="BI77" s="43"/>
      <c r="BJ77" s="41">
        <f t="shared" si="186"/>
        <v>0</v>
      </c>
      <c r="BK77" s="90"/>
      <c r="BL77" s="43"/>
      <c r="BM77" s="43"/>
      <c r="BN77" s="41">
        <f t="shared" si="187"/>
        <v>0</v>
      </c>
      <c r="BO77" s="90"/>
      <c r="BP77" s="43">
        <f>650+11923</f>
        <v>12573</v>
      </c>
      <c r="BQ77" s="43">
        <f>11923+650</f>
        <v>12573</v>
      </c>
      <c r="BR77" s="41">
        <f t="shared" si="172"/>
        <v>12573</v>
      </c>
      <c r="BS77" s="17">
        <f t="shared" si="197"/>
        <v>0</v>
      </c>
      <c r="BT77" s="18">
        <f t="shared" si="197"/>
        <v>12573</v>
      </c>
      <c r="BU77" s="18">
        <f t="shared" si="197"/>
        <v>12573</v>
      </c>
      <c r="BV77" s="20">
        <f t="shared" si="188"/>
        <v>12573</v>
      </c>
      <c r="BW77" s="17">
        <f t="shared" si="198"/>
        <v>0</v>
      </c>
      <c r="BX77" s="18">
        <f t="shared" si="198"/>
        <v>23133</v>
      </c>
      <c r="BY77" s="18">
        <f t="shared" si="198"/>
        <v>23133</v>
      </c>
      <c r="BZ77" s="20">
        <f t="shared" si="189"/>
        <v>23133</v>
      </c>
      <c r="CA77" s="128">
        <f t="shared" si="201"/>
        <v>0</v>
      </c>
      <c r="CB77" s="18">
        <f t="shared" si="201"/>
        <v>47683</v>
      </c>
      <c r="CC77" s="18">
        <f t="shared" si="201"/>
        <v>47683</v>
      </c>
      <c r="CD77" s="20">
        <f t="shared" si="190"/>
        <v>47683</v>
      </c>
      <c r="CH77" s="3"/>
      <c r="CJ77" s="91">
        <f t="shared" si="202"/>
        <v>0</v>
      </c>
      <c r="CK77" s="91">
        <f t="shared" si="202"/>
        <v>12573</v>
      </c>
      <c r="CL77" s="91">
        <f t="shared" si="202"/>
        <v>12573</v>
      </c>
      <c r="CM77" s="91">
        <f t="shared" si="202"/>
        <v>12573</v>
      </c>
      <c r="CN77" s="91">
        <f t="shared" si="149"/>
        <v>0</v>
      </c>
      <c r="CO77" s="91">
        <f t="shared" si="149"/>
        <v>47683</v>
      </c>
      <c r="CP77" s="91">
        <f t="shared" si="149"/>
        <v>47683</v>
      </c>
      <c r="CQ77" s="91">
        <f t="shared" si="149"/>
        <v>47683</v>
      </c>
    </row>
    <row r="78" spans="1:95" ht="16.5" outlineLevel="1" x14ac:dyDescent="0.3">
      <c r="A78" s="9"/>
      <c r="B78" s="133" t="s">
        <v>84</v>
      </c>
      <c r="C78" s="168"/>
      <c r="D78" s="18"/>
      <c r="E78" s="43"/>
      <c r="F78" s="170">
        <f t="shared" si="150"/>
        <v>0</v>
      </c>
      <c r="G78" s="89"/>
      <c r="H78" s="18"/>
      <c r="I78" s="43"/>
      <c r="J78" s="19">
        <f t="shared" si="151"/>
        <v>0</v>
      </c>
      <c r="K78" s="25"/>
      <c r="L78" s="18">
        <v>18819.89</v>
      </c>
      <c r="M78" s="18">
        <v>18819.89</v>
      </c>
      <c r="N78" s="19">
        <f t="shared" si="180"/>
        <v>18819.89</v>
      </c>
      <c r="O78" s="17">
        <f t="shared" si="199"/>
        <v>0</v>
      </c>
      <c r="P78" s="43">
        <f t="shared" si="192"/>
        <v>18819.89</v>
      </c>
      <c r="Q78" s="43">
        <f t="shared" si="192"/>
        <v>18819.89</v>
      </c>
      <c r="R78" s="19">
        <f t="shared" si="155"/>
        <v>18819.89</v>
      </c>
      <c r="S78" s="25"/>
      <c r="T78" s="18">
        <v>1455.79</v>
      </c>
      <c r="U78" s="43">
        <v>1455.79</v>
      </c>
      <c r="V78" s="19">
        <f t="shared" si="181"/>
        <v>1455.79</v>
      </c>
      <c r="W78" s="25"/>
      <c r="X78" s="18"/>
      <c r="Y78" s="19"/>
      <c r="Z78" s="18">
        <f t="shared" si="182"/>
        <v>0</v>
      </c>
      <c r="AA78" s="89"/>
      <c r="AB78" s="18"/>
      <c r="AC78" s="18"/>
      <c r="AD78" s="19">
        <f t="shared" si="158"/>
        <v>0</v>
      </c>
      <c r="AE78" s="17">
        <f t="shared" si="193"/>
        <v>0</v>
      </c>
      <c r="AF78" s="18">
        <v>1455.79</v>
      </c>
      <c r="AG78" s="18">
        <f t="shared" si="193"/>
        <v>1455.79</v>
      </c>
      <c r="AH78" s="19">
        <f t="shared" si="194"/>
        <v>1455.79</v>
      </c>
      <c r="AI78" s="17">
        <f t="shared" si="200"/>
        <v>0</v>
      </c>
      <c r="AJ78" s="18">
        <f t="shared" si="200"/>
        <v>20275.68</v>
      </c>
      <c r="AK78" s="18">
        <f t="shared" si="200"/>
        <v>20275.68</v>
      </c>
      <c r="AL78" s="19">
        <f t="shared" si="162"/>
        <v>20275.68</v>
      </c>
      <c r="AM78" s="25"/>
      <c r="AN78" s="18"/>
      <c r="AO78" s="18"/>
      <c r="AP78" s="20">
        <f t="shared" si="183"/>
        <v>0</v>
      </c>
      <c r="AQ78" s="25"/>
      <c r="AR78" s="18"/>
      <c r="AS78" s="43"/>
      <c r="AT78" s="20">
        <f t="shared" si="184"/>
        <v>0</v>
      </c>
      <c r="AU78" s="25"/>
      <c r="AV78" s="18"/>
      <c r="AW78" s="43"/>
      <c r="AX78" s="20">
        <f t="shared" si="185"/>
        <v>0</v>
      </c>
      <c r="AY78" s="17">
        <f t="shared" si="195"/>
        <v>0</v>
      </c>
      <c r="AZ78" s="18">
        <f t="shared" si="195"/>
        <v>0</v>
      </c>
      <c r="BA78" s="18">
        <f t="shared" si="195"/>
        <v>0</v>
      </c>
      <c r="BB78" s="19">
        <f t="shared" si="167"/>
        <v>0</v>
      </c>
      <c r="BC78" s="190">
        <f t="shared" si="196"/>
        <v>0</v>
      </c>
      <c r="BD78" s="84">
        <f t="shared" si="196"/>
        <v>20275.68</v>
      </c>
      <c r="BE78" s="84">
        <f t="shared" si="196"/>
        <v>20275.68</v>
      </c>
      <c r="BF78" s="170">
        <f t="shared" si="169"/>
        <v>20275.68</v>
      </c>
      <c r="BG78" s="89"/>
      <c r="BH78" s="18"/>
      <c r="BI78" s="43"/>
      <c r="BJ78" s="41">
        <f t="shared" si="186"/>
        <v>0</v>
      </c>
      <c r="BK78" s="90"/>
      <c r="BL78" s="43"/>
      <c r="BM78" s="43"/>
      <c r="BN78" s="41">
        <f t="shared" si="187"/>
        <v>0</v>
      </c>
      <c r="BO78" s="90"/>
      <c r="BP78" s="43"/>
      <c r="BQ78" s="43"/>
      <c r="BR78" s="41">
        <f t="shared" si="172"/>
        <v>0</v>
      </c>
      <c r="BS78" s="17">
        <f t="shared" si="197"/>
        <v>0</v>
      </c>
      <c r="BT78" s="18">
        <f t="shared" si="197"/>
        <v>0</v>
      </c>
      <c r="BU78" s="18">
        <f t="shared" si="197"/>
        <v>0</v>
      </c>
      <c r="BV78" s="20">
        <f t="shared" si="188"/>
        <v>0</v>
      </c>
      <c r="BW78" s="17">
        <f t="shared" si="198"/>
        <v>0</v>
      </c>
      <c r="BX78" s="18">
        <f t="shared" si="198"/>
        <v>0</v>
      </c>
      <c r="BY78" s="18">
        <f t="shared" si="198"/>
        <v>0</v>
      </c>
      <c r="BZ78" s="20">
        <f t="shared" si="189"/>
        <v>0</v>
      </c>
      <c r="CA78" s="128">
        <f t="shared" si="201"/>
        <v>0</v>
      </c>
      <c r="CB78" s="18">
        <f t="shared" si="201"/>
        <v>20275.68</v>
      </c>
      <c r="CC78" s="18">
        <f t="shared" si="201"/>
        <v>20275.68</v>
      </c>
      <c r="CD78" s="20">
        <f t="shared" si="190"/>
        <v>20275.68</v>
      </c>
      <c r="CH78" s="3"/>
      <c r="CJ78" s="91">
        <f t="shared" si="202"/>
        <v>0</v>
      </c>
      <c r="CK78" s="91">
        <f t="shared" si="202"/>
        <v>0</v>
      </c>
      <c r="CL78" s="91">
        <f t="shared" si="202"/>
        <v>0</v>
      </c>
      <c r="CM78" s="91">
        <f t="shared" si="202"/>
        <v>0</v>
      </c>
      <c r="CN78" s="91">
        <f t="shared" si="149"/>
        <v>0</v>
      </c>
      <c r="CO78" s="91">
        <f t="shared" si="149"/>
        <v>20275.68</v>
      </c>
      <c r="CP78" s="91">
        <f t="shared" si="149"/>
        <v>20275.68</v>
      </c>
      <c r="CQ78" s="91">
        <f t="shared" si="149"/>
        <v>20275.68</v>
      </c>
    </row>
    <row r="79" spans="1:95" ht="16.5" outlineLevel="1" x14ac:dyDescent="0.3">
      <c r="A79" s="9"/>
      <c r="B79" s="26" t="s">
        <v>155</v>
      </c>
      <c r="C79" s="168"/>
      <c r="D79" s="18"/>
      <c r="E79" s="43"/>
      <c r="F79" s="170">
        <f t="shared" si="150"/>
        <v>0</v>
      </c>
      <c r="G79" s="89"/>
      <c r="H79" s="18"/>
      <c r="I79" s="43"/>
      <c r="J79" s="19">
        <f t="shared" si="151"/>
        <v>0</v>
      </c>
      <c r="K79" s="25"/>
      <c r="L79" s="18"/>
      <c r="M79" s="18"/>
      <c r="N79" s="19">
        <f t="shared" si="180"/>
        <v>0</v>
      </c>
      <c r="O79" s="17">
        <f t="shared" si="199"/>
        <v>0</v>
      </c>
      <c r="P79" s="43">
        <f t="shared" si="192"/>
        <v>0</v>
      </c>
      <c r="Q79" s="43">
        <f t="shared" si="192"/>
        <v>0</v>
      </c>
      <c r="R79" s="19">
        <f t="shared" si="155"/>
        <v>0</v>
      </c>
      <c r="S79" s="25"/>
      <c r="T79" s="18"/>
      <c r="U79" s="43"/>
      <c r="V79" s="19">
        <f t="shared" si="181"/>
        <v>0</v>
      </c>
      <c r="W79" s="25"/>
      <c r="X79" s="18"/>
      <c r="Y79" s="19"/>
      <c r="Z79" s="18">
        <f t="shared" si="182"/>
        <v>0</v>
      </c>
      <c r="AA79" s="89"/>
      <c r="AB79" s="18"/>
      <c r="AC79" s="18"/>
      <c r="AD79" s="19">
        <f t="shared" si="158"/>
        <v>0</v>
      </c>
      <c r="AE79" s="17">
        <f t="shared" si="193"/>
        <v>0</v>
      </c>
      <c r="AF79" s="18">
        <f t="shared" si="193"/>
        <v>0</v>
      </c>
      <c r="AG79" s="18">
        <f t="shared" si="193"/>
        <v>0</v>
      </c>
      <c r="AH79" s="19">
        <f t="shared" si="194"/>
        <v>0</v>
      </c>
      <c r="AI79" s="17">
        <f t="shared" si="200"/>
        <v>0</v>
      </c>
      <c r="AJ79" s="18">
        <f t="shared" si="200"/>
        <v>0</v>
      </c>
      <c r="AK79" s="18">
        <f t="shared" si="200"/>
        <v>0</v>
      </c>
      <c r="AL79" s="19">
        <f t="shared" si="162"/>
        <v>0</v>
      </c>
      <c r="AM79" s="25"/>
      <c r="AN79" s="18"/>
      <c r="AO79" s="43"/>
      <c r="AP79" s="20">
        <f t="shared" si="183"/>
        <v>0</v>
      </c>
      <c r="AQ79" s="25"/>
      <c r="AR79" s="18"/>
      <c r="AS79" s="43"/>
      <c r="AT79" s="20">
        <f t="shared" si="184"/>
        <v>0</v>
      </c>
      <c r="AU79" s="25"/>
      <c r="AV79" s="18"/>
      <c r="AW79" s="43"/>
      <c r="AX79" s="20">
        <f t="shared" si="185"/>
        <v>0</v>
      </c>
      <c r="AY79" s="17">
        <f t="shared" si="195"/>
        <v>0</v>
      </c>
      <c r="AZ79" s="18">
        <f t="shared" si="195"/>
        <v>0</v>
      </c>
      <c r="BA79" s="18">
        <f t="shared" si="195"/>
        <v>0</v>
      </c>
      <c r="BB79" s="19">
        <f t="shared" si="167"/>
        <v>0</v>
      </c>
      <c r="BC79" s="190">
        <f t="shared" si="196"/>
        <v>0</v>
      </c>
      <c r="BD79" s="84">
        <f t="shared" si="196"/>
        <v>0</v>
      </c>
      <c r="BE79" s="84">
        <f t="shared" si="196"/>
        <v>0</v>
      </c>
      <c r="BF79" s="170">
        <f t="shared" si="169"/>
        <v>0</v>
      </c>
      <c r="BG79" s="89"/>
      <c r="BH79" s="18"/>
      <c r="BI79" s="43"/>
      <c r="BJ79" s="41">
        <f t="shared" si="186"/>
        <v>0</v>
      </c>
      <c r="BK79" s="90"/>
      <c r="BL79" s="43"/>
      <c r="BM79" s="43"/>
      <c r="BN79" s="41">
        <f t="shared" si="187"/>
        <v>0</v>
      </c>
      <c r="BO79" s="90"/>
      <c r="BP79" s="43"/>
      <c r="BQ79" s="43"/>
      <c r="BR79" s="41">
        <f t="shared" si="172"/>
        <v>0</v>
      </c>
      <c r="BS79" s="17">
        <f t="shared" si="197"/>
        <v>0</v>
      </c>
      <c r="BT79" s="18">
        <f t="shared" si="197"/>
        <v>0</v>
      </c>
      <c r="BU79" s="18">
        <f t="shared" si="197"/>
        <v>0</v>
      </c>
      <c r="BV79" s="20">
        <f t="shared" si="188"/>
        <v>0</v>
      </c>
      <c r="BW79" s="17">
        <f t="shared" si="198"/>
        <v>0</v>
      </c>
      <c r="BX79" s="18">
        <f t="shared" si="198"/>
        <v>0</v>
      </c>
      <c r="BY79" s="18">
        <f t="shared" si="198"/>
        <v>0</v>
      </c>
      <c r="BZ79" s="20">
        <f t="shared" si="189"/>
        <v>0</v>
      </c>
      <c r="CA79" s="128">
        <f t="shared" si="201"/>
        <v>0</v>
      </c>
      <c r="CB79" s="18">
        <f t="shared" si="201"/>
        <v>0</v>
      </c>
      <c r="CC79" s="18">
        <f t="shared" si="201"/>
        <v>0</v>
      </c>
      <c r="CD79" s="20">
        <f t="shared" si="190"/>
        <v>0</v>
      </c>
      <c r="CE79" s="94"/>
      <c r="CF79" s="94"/>
      <c r="CG79" s="94"/>
      <c r="CH79" s="3"/>
      <c r="CI79" s="94"/>
      <c r="CJ79" s="91">
        <f t="shared" si="202"/>
        <v>0</v>
      </c>
      <c r="CK79" s="91">
        <f t="shared" si="202"/>
        <v>0</v>
      </c>
      <c r="CL79" s="91">
        <f t="shared" si="202"/>
        <v>0</v>
      </c>
      <c r="CM79" s="91">
        <f t="shared" si="202"/>
        <v>0</v>
      </c>
      <c r="CN79" s="91">
        <f t="shared" si="149"/>
        <v>0</v>
      </c>
      <c r="CO79" s="91">
        <f t="shared" si="149"/>
        <v>0</v>
      </c>
      <c r="CP79" s="91">
        <f t="shared" si="149"/>
        <v>0</v>
      </c>
      <c r="CQ79" s="91">
        <f t="shared" si="149"/>
        <v>0</v>
      </c>
    </row>
    <row r="80" spans="1:95" ht="16.5" outlineLevel="1" x14ac:dyDescent="0.3">
      <c r="A80" s="9"/>
      <c r="B80" s="26" t="s">
        <v>85</v>
      </c>
      <c r="C80" s="168"/>
      <c r="D80" s="18"/>
      <c r="E80" s="43"/>
      <c r="F80" s="170">
        <f t="shared" si="150"/>
        <v>0</v>
      </c>
      <c r="G80" s="89"/>
      <c r="H80" s="18"/>
      <c r="I80" s="43"/>
      <c r="J80" s="19">
        <f t="shared" si="151"/>
        <v>0</v>
      </c>
      <c r="K80" s="25"/>
      <c r="L80" s="18"/>
      <c r="M80" s="18"/>
      <c r="N80" s="19">
        <f t="shared" si="180"/>
        <v>0</v>
      </c>
      <c r="O80" s="17">
        <f t="shared" si="199"/>
        <v>0</v>
      </c>
      <c r="P80" s="43">
        <f t="shared" si="192"/>
        <v>0</v>
      </c>
      <c r="Q80" s="43">
        <f t="shared" si="192"/>
        <v>0</v>
      </c>
      <c r="R80" s="19">
        <f t="shared" si="155"/>
        <v>0</v>
      </c>
      <c r="S80" s="25"/>
      <c r="T80" s="18"/>
      <c r="U80" s="43"/>
      <c r="V80" s="19">
        <f t="shared" si="181"/>
        <v>0</v>
      </c>
      <c r="W80" s="25"/>
      <c r="X80" s="18"/>
      <c r="Y80" s="19"/>
      <c r="Z80" s="18">
        <f t="shared" si="182"/>
        <v>0</v>
      </c>
      <c r="AA80" s="89"/>
      <c r="AB80" s="18"/>
      <c r="AC80" s="18"/>
      <c r="AD80" s="19">
        <f t="shared" si="158"/>
        <v>0</v>
      </c>
      <c r="AE80" s="17">
        <f t="shared" si="193"/>
        <v>0</v>
      </c>
      <c r="AF80" s="18">
        <f t="shared" si="193"/>
        <v>0</v>
      </c>
      <c r="AG80" s="18">
        <f t="shared" si="193"/>
        <v>0</v>
      </c>
      <c r="AH80" s="19">
        <f t="shared" si="194"/>
        <v>0</v>
      </c>
      <c r="AI80" s="17">
        <f t="shared" si="200"/>
        <v>0</v>
      </c>
      <c r="AJ80" s="18">
        <f t="shared" si="200"/>
        <v>0</v>
      </c>
      <c r="AK80" s="18">
        <f t="shared" si="200"/>
        <v>0</v>
      </c>
      <c r="AL80" s="19">
        <f t="shared" si="162"/>
        <v>0</v>
      </c>
      <c r="AM80" s="25"/>
      <c r="AN80" s="18"/>
      <c r="AO80" s="43"/>
      <c r="AP80" s="20">
        <f t="shared" si="183"/>
        <v>0</v>
      </c>
      <c r="AQ80" s="25"/>
      <c r="AR80" s="18"/>
      <c r="AS80" s="43"/>
      <c r="AT80" s="20">
        <f t="shared" si="184"/>
        <v>0</v>
      </c>
      <c r="AU80" s="25"/>
      <c r="AV80" s="18"/>
      <c r="AW80" s="43"/>
      <c r="AX80" s="20">
        <f t="shared" si="185"/>
        <v>0</v>
      </c>
      <c r="AY80" s="17">
        <f t="shared" si="195"/>
        <v>0</v>
      </c>
      <c r="AZ80" s="18">
        <f t="shared" si="195"/>
        <v>0</v>
      </c>
      <c r="BA80" s="18">
        <f t="shared" si="195"/>
        <v>0</v>
      </c>
      <c r="BB80" s="19">
        <f t="shared" si="167"/>
        <v>0</v>
      </c>
      <c r="BC80" s="190">
        <f t="shared" si="196"/>
        <v>0</v>
      </c>
      <c r="BD80" s="84">
        <f t="shared" si="196"/>
        <v>0</v>
      </c>
      <c r="BE80" s="84">
        <f t="shared" si="196"/>
        <v>0</v>
      </c>
      <c r="BF80" s="170">
        <f t="shared" si="169"/>
        <v>0</v>
      </c>
      <c r="BG80" s="89"/>
      <c r="BH80" s="18"/>
      <c r="BI80" s="43"/>
      <c r="BJ80" s="41">
        <f t="shared" si="186"/>
        <v>0</v>
      </c>
      <c r="BK80" s="90"/>
      <c r="BL80" s="43"/>
      <c r="BM80" s="43"/>
      <c r="BN80" s="41">
        <f t="shared" si="187"/>
        <v>0</v>
      </c>
      <c r="BO80" s="90"/>
      <c r="BP80" s="43"/>
      <c r="BQ80" s="43"/>
      <c r="BR80" s="41">
        <f t="shared" si="172"/>
        <v>0</v>
      </c>
      <c r="BS80" s="17">
        <f t="shared" si="197"/>
        <v>0</v>
      </c>
      <c r="BT80" s="18">
        <f t="shared" si="197"/>
        <v>0</v>
      </c>
      <c r="BU80" s="18">
        <f t="shared" si="197"/>
        <v>0</v>
      </c>
      <c r="BV80" s="20">
        <f t="shared" si="188"/>
        <v>0</v>
      </c>
      <c r="BW80" s="17">
        <f t="shared" si="198"/>
        <v>0</v>
      </c>
      <c r="BX80" s="18">
        <f t="shared" si="198"/>
        <v>0</v>
      </c>
      <c r="BY80" s="18">
        <f t="shared" si="198"/>
        <v>0</v>
      </c>
      <c r="BZ80" s="20">
        <f t="shared" si="189"/>
        <v>0</v>
      </c>
      <c r="CA80" s="128">
        <f t="shared" si="201"/>
        <v>0</v>
      </c>
      <c r="CB80" s="18">
        <f t="shared" si="201"/>
        <v>0</v>
      </c>
      <c r="CC80" s="18">
        <f t="shared" si="201"/>
        <v>0</v>
      </c>
      <c r="CD80" s="20">
        <f t="shared" si="190"/>
        <v>0</v>
      </c>
      <c r="CE80" s="94"/>
      <c r="CF80" s="94"/>
      <c r="CG80" s="94"/>
      <c r="CH80" s="3"/>
      <c r="CI80" s="94"/>
      <c r="CJ80" s="91">
        <f t="shared" si="202"/>
        <v>0</v>
      </c>
      <c r="CK80" s="91">
        <f t="shared" si="202"/>
        <v>0</v>
      </c>
      <c r="CL80" s="91">
        <f t="shared" si="202"/>
        <v>0</v>
      </c>
      <c r="CM80" s="91">
        <f t="shared" si="202"/>
        <v>0</v>
      </c>
      <c r="CN80" s="91">
        <f t="shared" si="149"/>
        <v>0</v>
      </c>
      <c r="CO80" s="91">
        <f t="shared" si="149"/>
        <v>0</v>
      </c>
      <c r="CP80" s="91">
        <f t="shared" si="149"/>
        <v>0</v>
      </c>
      <c r="CQ80" s="91">
        <f t="shared" si="149"/>
        <v>0</v>
      </c>
    </row>
    <row r="81" spans="1:95" ht="21.75" customHeight="1" outlineLevel="1" x14ac:dyDescent="0.3">
      <c r="A81" s="9"/>
      <c r="B81" s="26" t="s">
        <v>86</v>
      </c>
      <c r="C81" s="168"/>
      <c r="D81" s="18"/>
      <c r="E81" s="43"/>
      <c r="F81" s="170">
        <f t="shared" si="150"/>
        <v>0</v>
      </c>
      <c r="G81" s="89"/>
      <c r="H81" s="18"/>
      <c r="I81" s="18"/>
      <c r="J81" s="19">
        <f t="shared" si="151"/>
        <v>0</v>
      </c>
      <c r="K81" s="25"/>
      <c r="L81" s="18"/>
      <c r="M81" s="18"/>
      <c r="N81" s="19">
        <f t="shared" si="180"/>
        <v>0</v>
      </c>
      <c r="O81" s="17">
        <f t="shared" si="199"/>
        <v>0</v>
      </c>
      <c r="P81" s="43">
        <f t="shared" si="192"/>
        <v>0</v>
      </c>
      <c r="Q81" s="43">
        <f t="shared" si="192"/>
        <v>0</v>
      </c>
      <c r="R81" s="19">
        <f t="shared" si="155"/>
        <v>0</v>
      </c>
      <c r="S81" s="25"/>
      <c r="T81" s="18"/>
      <c r="U81" s="43"/>
      <c r="V81" s="19">
        <f t="shared" si="181"/>
        <v>0</v>
      </c>
      <c r="W81" s="25"/>
      <c r="X81" s="18"/>
      <c r="Y81" s="19"/>
      <c r="Z81" s="18">
        <f t="shared" si="182"/>
        <v>0</v>
      </c>
      <c r="AA81" s="89"/>
      <c r="AB81" s="18"/>
      <c r="AC81" s="18"/>
      <c r="AD81" s="19">
        <f t="shared" si="158"/>
        <v>0</v>
      </c>
      <c r="AE81" s="17">
        <f t="shared" si="193"/>
        <v>0</v>
      </c>
      <c r="AF81" s="18">
        <f t="shared" si="193"/>
        <v>0</v>
      </c>
      <c r="AG81" s="18">
        <f t="shared" si="193"/>
        <v>0</v>
      </c>
      <c r="AH81" s="19">
        <f t="shared" si="194"/>
        <v>0</v>
      </c>
      <c r="AI81" s="17">
        <f t="shared" si="200"/>
        <v>0</v>
      </c>
      <c r="AJ81" s="18">
        <f t="shared" si="200"/>
        <v>0</v>
      </c>
      <c r="AK81" s="18">
        <f t="shared" si="200"/>
        <v>0</v>
      </c>
      <c r="AL81" s="19">
        <f t="shared" si="162"/>
        <v>0</v>
      </c>
      <c r="AM81" s="25"/>
      <c r="AN81" s="18"/>
      <c r="AO81" s="18"/>
      <c r="AP81" s="20"/>
      <c r="AQ81" s="25"/>
      <c r="AR81" s="18"/>
      <c r="AS81" s="43"/>
      <c r="AT81" s="20">
        <f t="shared" si="184"/>
        <v>0</v>
      </c>
      <c r="AU81" s="25"/>
      <c r="AV81" s="18"/>
      <c r="AW81" s="43"/>
      <c r="AX81" s="20">
        <f t="shared" si="185"/>
        <v>0</v>
      </c>
      <c r="AY81" s="17">
        <f t="shared" si="195"/>
        <v>0</v>
      </c>
      <c r="AZ81" s="18">
        <f t="shared" si="195"/>
        <v>0</v>
      </c>
      <c r="BA81" s="18">
        <f t="shared" si="195"/>
        <v>0</v>
      </c>
      <c r="BB81" s="19">
        <f t="shared" si="167"/>
        <v>0</v>
      </c>
      <c r="BC81" s="190">
        <f t="shared" si="196"/>
        <v>0</v>
      </c>
      <c r="BD81" s="84">
        <f t="shared" si="196"/>
        <v>0</v>
      </c>
      <c r="BE81" s="84">
        <f t="shared" si="196"/>
        <v>0</v>
      </c>
      <c r="BF81" s="170">
        <f t="shared" si="169"/>
        <v>0</v>
      </c>
      <c r="BG81" s="89"/>
      <c r="BH81" s="18"/>
      <c r="BI81" s="43"/>
      <c r="BJ81" s="41">
        <f t="shared" si="186"/>
        <v>0</v>
      </c>
      <c r="BK81" s="90"/>
      <c r="BL81" s="43"/>
      <c r="BM81" s="43"/>
      <c r="BN81" s="41">
        <f t="shared" si="187"/>
        <v>0</v>
      </c>
      <c r="BO81" s="90"/>
      <c r="BP81" s="43"/>
      <c r="BQ81" s="43"/>
      <c r="BR81" s="41">
        <f t="shared" si="172"/>
        <v>0</v>
      </c>
      <c r="BS81" s="17">
        <f t="shared" si="197"/>
        <v>0</v>
      </c>
      <c r="BT81" s="18">
        <f t="shared" si="197"/>
        <v>0</v>
      </c>
      <c r="BU81" s="18">
        <f t="shared" si="197"/>
        <v>0</v>
      </c>
      <c r="BV81" s="20">
        <f t="shared" si="188"/>
        <v>0</v>
      </c>
      <c r="BW81" s="17">
        <f t="shared" si="198"/>
        <v>0</v>
      </c>
      <c r="BX81" s="18">
        <f t="shared" si="198"/>
        <v>0</v>
      </c>
      <c r="BY81" s="18">
        <f t="shared" si="198"/>
        <v>0</v>
      </c>
      <c r="BZ81" s="20">
        <f t="shared" si="189"/>
        <v>0</v>
      </c>
      <c r="CA81" s="128">
        <f t="shared" si="201"/>
        <v>0</v>
      </c>
      <c r="CB81" s="18">
        <f t="shared" si="201"/>
        <v>0</v>
      </c>
      <c r="CC81" s="18">
        <f t="shared" si="201"/>
        <v>0</v>
      </c>
      <c r="CD81" s="20">
        <f t="shared" si="190"/>
        <v>0</v>
      </c>
      <c r="CE81" s="94"/>
      <c r="CF81" s="94"/>
      <c r="CG81" s="94"/>
      <c r="CH81" s="3"/>
      <c r="CI81" s="94"/>
      <c r="CJ81" s="91">
        <f t="shared" si="202"/>
        <v>0</v>
      </c>
      <c r="CK81" s="91">
        <f t="shared" si="202"/>
        <v>0</v>
      </c>
      <c r="CL81" s="91">
        <f t="shared" si="202"/>
        <v>0</v>
      </c>
      <c r="CM81" s="91">
        <f t="shared" si="202"/>
        <v>0</v>
      </c>
      <c r="CN81" s="91">
        <f t="shared" si="149"/>
        <v>0</v>
      </c>
      <c r="CO81" s="91">
        <f t="shared" si="149"/>
        <v>0</v>
      </c>
      <c r="CP81" s="91">
        <f t="shared" si="149"/>
        <v>0</v>
      </c>
      <c r="CQ81" s="91">
        <f t="shared" si="149"/>
        <v>0</v>
      </c>
    </row>
    <row r="82" spans="1:95" ht="16.5" outlineLevel="1" x14ac:dyDescent="0.3">
      <c r="A82" s="9"/>
      <c r="B82" s="164" t="s">
        <v>87</v>
      </c>
      <c r="C82" s="168"/>
      <c r="D82" s="18"/>
      <c r="E82" s="43"/>
      <c r="F82" s="170">
        <f t="shared" si="150"/>
        <v>0</v>
      </c>
      <c r="G82" s="89"/>
      <c r="H82" s="18"/>
      <c r="I82" s="18"/>
      <c r="J82" s="19"/>
      <c r="K82" s="25"/>
      <c r="L82" s="18"/>
      <c r="M82" s="18"/>
      <c r="N82" s="19">
        <f t="shared" si="180"/>
        <v>0</v>
      </c>
      <c r="O82" s="17">
        <f t="shared" si="199"/>
        <v>0</v>
      </c>
      <c r="P82" s="43">
        <f t="shared" si="192"/>
        <v>0</v>
      </c>
      <c r="Q82" s="43">
        <f t="shared" si="192"/>
        <v>0</v>
      </c>
      <c r="R82" s="19">
        <f t="shared" si="155"/>
        <v>0</v>
      </c>
      <c r="S82" s="25"/>
      <c r="T82" s="18"/>
      <c r="U82" s="43"/>
      <c r="V82" s="19"/>
      <c r="W82" s="25"/>
      <c r="X82" s="18"/>
      <c r="Y82" s="19"/>
      <c r="Z82" s="18">
        <f t="shared" si="182"/>
        <v>0</v>
      </c>
      <c r="AA82" s="89"/>
      <c r="AB82" s="18"/>
      <c r="AC82" s="18"/>
      <c r="AD82" s="19">
        <f t="shared" si="158"/>
        <v>0</v>
      </c>
      <c r="AE82" s="17">
        <f t="shared" si="193"/>
        <v>0</v>
      </c>
      <c r="AF82" s="18">
        <f t="shared" si="193"/>
        <v>0</v>
      </c>
      <c r="AG82" s="18">
        <f t="shared" si="193"/>
        <v>0</v>
      </c>
      <c r="AH82" s="19">
        <f t="shared" si="194"/>
        <v>0</v>
      </c>
      <c r="AI82" s="17">
        <f t="shared" si="200"/>
        <v>0</v>
      </c>
      <c r="AJ82" s="18">
        <f t="shared" si="200"/>
        <v>0</v>
      </c>
      <c r="AK82" s="18">
        <f t="shared" si="200"/>
        <v>0</v>
      </c>
      <c r="AL82" s="19">
        <f t="shared" si="162"/>
        <v>0</v>
      </c>
      <c r="AM82" s="25"/>
      <c r="AN82" s="18"/>
      <c r="AO82" s="18"/>
      <c r="AP82" s="20"/>
      <c r="AQ82" s="25"/>
      <c r="AR82" s="18"/>
      <c r="AS82" s="43"/>
      <c r="AT82" s="20">
        <f t="shared" si="184"/>
        <v>0</v>
      </c>
      <c r="AU82" s="25"/>
      <c r="AV82" s="18"/>
      <c r="AW82" s="43"/>
      <c r="AX82" s="20">
        <f t="shared" si="185"/>
        <v>0</v>
      </c>
      <c r="AY82" s="17">
        <f t="shared" si="195"/>
        <v>0</v>
      </c>
      <c r="AZ82" s="18">
        <f t="shared" si="195"/>
        <v>0</v>
      </c>
      <c r="BA82" s="18">
        <f t="shared" si="195"/>
        <v>0</v>
      </c>
      <c r="BB82" s="19">
        <f t="shared" si="167"/>
        <v>0</v>
      </c>
      <c r="BC82" s="190">
        <f t="shared" si="196"/>
        <v>0</v>
      </c>
      <c r="BD82" s="84">
        <f t="shared" si="196"/>
        <v>0</v>
      </c>
      <c r="BE82" s="84">
        <f t="shared" si="196"/>
        <v>0</v>
      </c>
      <c r="BF82" s="170">
        <f t="shared" si="169"/>
        <v>0</v>
      </c>
      <c r="BG82" s="89"/>
      <c r="BH82" s="18"/>
      <c r="BI82" s="43"/>
      <c r="BJ82" s="41">
        <f t="shared" si="186"/>
        <v>0</v>
      </c>
      <c r="BK82" s="90"/>
      <c r="BL82" s="43"/>
      <c r="BM82" s="43"/>
      <c r="BN82" s="41">
        <f t="shared" si="187"/>
        <v>0</v>
      </c>
      <c r="BO82" s="90"/>
      <c r="BP82" s="43"/>
      <c r="BQ82" s="43"/>
      <c r="BR82" s="41">
        <f t="shared" si="172"/>
        <v>0</v>
      </c>
      <c r="BS82" s="17">
        <f t="shared" si="197"/>
        <v>0</v>
      </c>
      <c r="BT82" s="18">
        <f t="shared" si="197"/>
        <v>0</v>
      </c>
      <c r="BU82" s="18">
        <f t="shared" si="197"/>
        <v>0</v>
      </c>
      <c r="BV82" s="20">
        <f t="shared" si="188"/>
        <v>0</v>
      </c>
      <c r="BW82" s="17">
        <f t="shared" si="198"/>
        <v>0</v>
      </c>
      <c r="BX82" s="18">
        <f t="shared" si="198"/>
        <v>0</v>
      </c>
      <c r="BY82" s="18">
        <f t="shared" si="198"/>
        <v>0</v>
      </c>
      <c r="BZ82" s="20">
        <f t="shared" si="189"/>
        <v>0</v>
      </c>
      <c r="CA82" s="128">
        <f t="shared" si="201"/>
        <v>0</v>
      </c>
      <c r="CB82" s="18">
        <f t="shared" si="201"/>
        <v>0</v>
      </c>
      <c r="CC82" s="18">
        <f t="shared" si="201"/>
        <v>0</v>
      </c>
      <c r="CD82" s="20">
        <f t="shared" si="190"/>
        <v>0</v>
      </c>
      <c r="CE82" s="94"/>
      <c r="CF82" s="94"/>
      <c r="CG82" s="94"/>
      <c r="CH82" s="3"/>
      <c r="CI82" s="94"/>
      <c r="CJ82" s="91">
        <f t="shared" si="202"/>
        <v>0</v>
      </c>
      <c r="CK82" s="91">
        <f t="shared" si="202"/>
        <v>0</v>
      </c>
      <c r="CL82" s="91">
        <f t="shared" si="202"/>
        <v>0</v>
      </c>
      <c r="CM82" s="91">
        <f t="shared" si="202"/>
        <v>0</v>
      </c>
      <c r="CN82" s="91">
        <f t="shared" si="149"/>
        <v>0</v>
      </c>
      <c r="CO82" s="91">
        <f t="shared" si="149"/>
        <v>0</v>
      </c>
      <c r="CP82" s="91">
        <f t="shared" si="149"/>
        <v>0</v>
      </c>
      <c r="CQ82" s="91">
        <f t="shared" si="149"/>
        <v>0</v>
      </c>
    </row>
    <row r="83" spans="1:95" ht="16.5" outlineLevel="1" x14ac:dyDescent="0.3">
      <c r="A83" s="9"/>
      <c r="B83" s="26" t="s">
        <v>88</v>
      </c>
      <c r="C83" s="168"/>
      <c r="D83" s="18"/>
      <c r="E83" s="43"/>
      <c r="F83" s="170">
        <f t="shared" si="150"/>
        <v>0</v>
      </c>
      <c r="G83" s="83"/>
      <c r="H83" s="18"/>
      <c r="I83" s="18"/>
      <c r="J83" s="19">
        <f t="shared" ref="J83:J90" si="203">H83-G83</f>
        <v>0</v>
      </c>
      <c r="K83" s="17"/>
      <c r="L83" s="18"/>
      <c r="M83" s="18"/>
      <c r="N83" s="19">
        <f t="shared" si="180"/>
        <v>0</v>
      </c>
      <c r="O83" s="17">
        <f t="shared" si="199"/>
        <v>0</v>
      </c>
      <c r="P83" s="43">
        <f t="shared" si="192"/>
        <v>0</v>
      </c>
      <c r="Q83" s="43">
        <f t="shared" si="192"/>
        <v>0</v>
      </c>
      <c r="R83" s="19">
        <f t="shared" si="155"/>
        <v>0</v>
      </c>
      <c r="S83" s="17"/>
      <c r="T83" s="18"/>
      <c r="U83" s="43"/>
      <c r="V83" s="19"/>
      <c r="W83" s="17"/>
      <c r="X83" s="18"/>
      <c r="Y83" s="19"/>
      <c r="Z83" s="18">
        <f t="shared" si="182"/>
        <v>0</v>
      </c>
      <c r="AA83" s="83"/>
      <c r="AB83" s="18"/>
      <c r="AC83" s="18"/>
      <c r="AD83" s="19">
        <f t="shared" si="158"/>
        <v>0</v>
      </c>
      <c r="AE83" s="17">
        <f t="shared" si="193"/>
        <v>0</v>
      </c>
      <c r="AF83" s="18">
        <f t="shared" si="193"/>
        <v>0</v>
      </c>
      <c r="AG83" s="18">
        <f t="shared" si="193"/>
        <v>0</v>
      </c>
      <c r="AH83" s="19">
        <f t="shared" si="194"/>
        <v>0</v>
      </c>
      <c r="AI83" s="17">
        <f t="shared" si="200"/>
        <v>0</v>
      </c>
      <c r="AJ83" s="18">
        <f t="shared" si="200"/>
        <v>0</v>
      </c>
      <c r="AK83" s="18">
        <f t="shared" si="200"/>
        <v>0</v>
      </c>
      <c r="AL83" s="19">
        <f t="shared" si="162"/>
        <v>0</v>
      </c>
      <c r="AM83" s="17"/>
      <c r="AN83" s="18"/>
      <c r="AO83" s="18"/>
      <c r="AP83" s="20"/>
      <c r="AQ83" s="17"/>
      <c r="AR83" s="18"/>
      <c r="AS83" s="43"/>
      <c r="AT83" s="20">
        <f t="shared" si="184"/>
        <v>0</v>
      </c>
      <c r="AU83" s="17"/>
      <c r="AV83" s="18"/>
      <c r="AW83" s="43"/>
      <c r="AX83" s="20">
        <f t="shared" si="185"/>
        <v>0</v>
      </c>
      <c r="AY83" s="17">
        <f t="shared" si="195"/>
        <v>0</v>
      </c>
      <c r="AZ83" s="18">
        <f t="shared" si="195"/>
        <v>0</v>
      </c>
      <c r="BA83" s="18">
        <f t="shared" si="195"/>
        <v>0</v>
      </c>
      <c r="BB83" s="19">
        <f t="shared" si="167"/>
        <v>0</v>
      </c>
      <c r="BC83" s="190">
        <f t="shared" si="196"/>
        <v>0</v>
      </c>
      <c r="BD83" s="84">
        <f t="shared" si="196"/>
        <v>0</v>
      </c>
      <c r="BE83" s="84">
        <f t="shared" si="196"/>
        <v>0</v>
      </c>
      <c r="BF83" s="170">
        <f t="shared" si="169"/>
        <v>0</v>
      </c>
      <c r="BG83" s="83"/>
      <c r="BH83" s="18"/>
      <c r="BI83" s="43"/>
      <c r="BJ83" s="41">
        <f t="shared" si="186"/>
        <v>0</v>
      </c>
      <c r="BK83" s="44"/>
      <c r="BL83" s="43"/>
      <c r="BM83" s="43"/>
      <c r="BN83" s="41">
        <f t="shared" si="187"/>
        <v>0</v>
      </c>
      <c r="BO83" s="44"/>
      <c r="BP83" s="43"/>
      <c r="BQ83" s="43"/>
      <c r="BR83" s="41">
        <f t="shared" si="172"/>
        <v>0</v>
      </c>
      <c r="BS83" s="17">
        <f t="shared" si="197"/>
        <v>0</v>
      </c>
      <c r="BT83" s="18">
        <f t="shared" si="197"/>
        <v>0</v>
      </c>
      <c r="BU83" s="18">
        <f t="shared" si="197"/>
        <v>0</v>
      </c>
      <c r="BV83" s="20">
        <f t="shared" si="188"/>
        <v>0</v>
      </c>
      <c r="BW83" s="17">
        <f t="shared" si="198"/>
        <v>0</v>
      </c>
      <c r="BX83" s="18">
        <f t="shared" si="198"/>
        <v>0</v>
      </c>
      <c r="BY83" s="18">
        <f t="shared" si="198"/>
        <v>0</v>
      </c>
      <c r="BZ83" s="20">
        <f t="shared" si="189"/>
        <v>0</v>
      </c>
      <c r="CA83" s="128">
        <f t="shared" si="201"/>
        <v>0</v>
      </c>
      <c r="CB83" s="18">
        <f t="shared" si="201"/>
        <v>0</v>
      </c>
      <c r="CC83" s="18">
        <f t="shared" si="201"/>
        <v>0</v>
      </c>
      <c r="CD83" s="20">
        <f t="shared" si="190"/>
        <v>0</v>
      </c>
      <c r="CE83" s="94"/>
      <c r="CF83" s="94"/>
      <c r="CG83" s="94"/>
      <c r="CH83" s="3"/>
      <c r="CI83" s="94"/>
      <c r="CJ83" s="91">
        <f t="shared" si="202"/>
        <v>0</v>
      </c>
      <c r="CK83" s="91">
        <f t="shared" si="202"/>
        <v>0</v>
      </c>
      <c r="CL83" s="91">
        <f t="shared" si="202"/>
        <v>0</v>
      </c>
      <c r="CM83" s="91">
        <f t="shared" si="202"/>
        <v>0</v>
      </c>
      <c r="CN83" s="91">
        <f t="shared" si="149"/>
        <v>0</v>
      </c>
      <c r="CO83" s="91">
        <f t="shared" si="149"/>
        <v>0</v>
      </c>
      <c r="CP83" s="91">
        <f t="shared" si="149"/>
        <v>0</v>
      </c>
      <c r="CQ83" s="91">
        <f t="shared" si="149"/>
        <v>0</v>
      </c>
    </row>
    <row r="84" spans="1:95" ht="16.5" outlineLevel="1" x14ac:dyDescent="0.3">
      <c r="A84" s="9"/>
      <c r="B84" s="26" t="s">
        <v>165</v>
      </c>
      <c r="C84" s="168"/>
      <c r="D84" s="18">
        <f>274.58+137.29+137.29</f>
        <v>549.16</v>
      </c>
      <c r="E84" s="43">
        <v>411.87</v>
      </c>
      <c r="F84" s="170">
        <f t="shared" si="150"/>
        <v>549.16</v>
      </c>
      <c r="G84" s="83"/>
      <c r="H84" s="18">
        <f>137.29+137.29+137.29+137.29</f>
        <v>549.16</v>
      </c>
      <c r="I84" s="18">
        <v>549.16</v>
      </c>
      <c r="J84" s="19">
        <f t="shared" si="203"/>
        <v>549.16</v>
      </c>
      <c r="K84" s="17"/>
      <c r="L84" s="18">
        <f>137.29+137.29+137.29</f>
        <v>411.87</v>
      </c>
      <c r="M84" s="18">
        <v>549.16</v>
      </c>
      <c r="N84" s="19">
        <f t="shared" si="180"/>
        <v>411.87</v>
      </c>
      <c r="O84" s="17">
        <f t="shared" si="199"/>
        <v>0</v>
      </c>
      <c r="P84" s="43">
        <f t="shared" si="192"/>
        <v>1510.19</v>
      </c>
      <c r="Q84" s="43">
        <f t="shared" si="192"/>
        <v>1510.19</v>
      </c>
      <c r="R84" s="19">
        <f t="shared" si="155"/>
        <v>1510.19</v>
      </c>
      <c r="S84" s="17"/>
      <c r="T84" s="18"/>
      <c r="U84" s="43"/>
      <c r="V84" s="19"/>
      <c r="W84" s="17"/>
      <c r="X84" s="18">
        <v>357.29</v>
      </c>
      <c r="Y84" s="19">
        <v>357.29</v>
      </c>
      <c r="Z84" s="18">
        <f t="shared" si="182"/>
        <v>357.29</v>
      </c>
      <c r="AA84" s="83"/>
      <c r="AB84" s="18">
        <f>220+220</f>
        <v>440</v>
      </c>
      <c r="AC84" s="18">
        <v>440</v>
      </c>
      <c r="AD84" s="19">
        <f t="shared" si="158"/>
        <v>440</v>
      </c>
      <c r="AE84" s="17">
        <f t="shared" si="193"/>
        <v>0</v>
      </c>
      <c r="AF84" s="18">
        <f t="shared" si="193"/>
        <v>797.29</v>
      </c>
      <c r="AG84" s="18">
        <f t="shared" si="193"/>
        <v>797.29</v>
      </c>
      <c r="AH84" s="19">
        <f t="shared" si="194"/>
        <v>797.29</v>
      </c>
      <c r="AI84" s="17">
        <f t="shared" si="200"/>
        <v>0</v>
      </c>
      <c r="AJ84" s="18">
        <f t="shared" si="200"/>
        <v>2307.48</v>
      </c>
      <c r="AK84" s="18">
        <f t="shared" si="200"/>
        <v>2307.48</v>
      </c>
      <c r="AL84" s="19">
        <f t="shared" si="162"/>
        <v>2307.48</v>
      </c>
      <c r="AM84" s="17"/>
      <c r="AN84" s="18">
        <f>220+220</f>
        <v>440</v>
      </c>
      <c r="AO84" s="18">
        <v>440</v>
      </c>
      <c r="AP84" s="20"/>
      <c r="AQ84" s="17"/>
      <c r="AR84" s="18">
        <f>220+220</f>
        <v>440</v>
      </c>
      <c r="AS84" s="43">
        <v>440</v>
      </c>
      <c r="AT84" s="20">
        <f t="shared" si="184"/>
        <v>440</v>
      </c>
      <c r="AU84" s="17"/>
      <c r="AV84" s="18">
        <f>220+220+220</f>
        <v>660</v>
      </c>
      <c r="AW84" s="43">
        <v>660</v>
      </c>
      <c r="AX84" s="20">
        <f t="shared" si="185"/>
        <v>660</v>
      </c>
      <c r="AY84" s="17">
        <f t="shared" si="195"/>
        <v>0</v>
      </c>
      <c r="AZ84" s="18">
        <f t="shared" si="195"/>
        <v>1540</v>
      </c>
      <c r="BA84" s="18">
        <f t="shared" si="195"/>
        <v>1540</v>
      </c>
      <c r="BB84" s="19"/>
      <c r="BC84" s="190">
        <f t="shared" si="196"/>
        <v>0</v>
      </c>
      <c r="BD84" s="84">
        <f t="shared" si="196"/>
        <v>3847.48</v>
      </c>
      <c r="BE84" s="84">
        <f t="shared" si="196"/>
        <v>3847.48</v>
      </c>
      <c r="BF84" s="170">
        <f t="shared" si="169"/>
        <v>3847.48</v>
      </c>
      <c r="BG84" s="83"/>
      <c r="BH84" s="18"/>
      <c r="BI84" s="43"/>
      <c r="BJ84" s="41">
        <f t="shared" si="186"/>
        <v>0</v>
      </c>
      <c r="BK84" s="44"/>
      <c r="BL84" s="43">
        <f>220+220</f>
        <v>440</v>
      </c>
      <c r="BM84" s="43">
        <v>440</v>
      </c>
      <c r="BN84" s="41">
        <f t="shared" si="187"/>
        <v>440</v>
      </c>
      <c r="BO84" s="44"/>
      <c r="BP84" s="43">
        <f>880</f>
        <v>880</v>
      </c>
      <c r="BQ84" s="43">
        <v>880</v>
      </c>
      <c r="BR84" s="41">
        <f t="shared" si="172"/>
        <v>880</v>
      </c>
      <c r="BS84" s="17">
        <f t="shared" si="197"/>
        <v>0</v>
      </c>
      <c r="BT84" s="18">
        <f t="shared" si="197"/>
        <v>1320</v>
      </c>
      <c r="BU84" s="18">
        <f t="shared" si="197"/>
        <v>1320</v>
      </c>
      <c r="BV84" s="20">
        <f t="shared" si="188"/>
        <v>1320</v>
      </c>
      <c r="BW84" s="17">
        <f t="shared" si="198"/>
        <v>0</v>
      </c>
      <c r="BX84" s="18">
        <f t="shared" si="198"/>
        <v>2860</v>
      </c>
      <c r="BY84" s="18">
        <f t="shared" si="198"/>
        <v>2860</v>
      </c>
      <c r="BZ84" s="20">
        <f t="shared" si="189"/>
        <v>2860</v>
      </c>
      <c r="CA84" s="128">
        <f t="shared" si="201"/>
        <v>0</v>
      </c>
      <c r="CB84" s="18">
        <f t="shared" si="201"/>
        <v>5167.4799999999996</v>
      </c>
      <c r="CC84" s="18">
        <f t="shared" si="201"/>
        <v>5167.4799999999996</v>
      </c>
      <c r="CD84" s="20">
        <f t="shared" si="190"/>
        <v>5167.4799999999996</v>
      </c>
      <c r="CE84" s="94"/>
      <c r="CF84" s="94"/>
      <c r="CG84" s="94"/>
      <c r="CH84" s="3"/>
      <c r="CI84" s="94"/>
      <c r="CJ84" s="91">
        <f t="shared" si="202"/>
        <v>0</v>
      </c>
      <c r="CK84" s="91">
        <f t="shared" si="202"/>
        <v>1320</v>
      </c>
      <c r="CL84" s="91">
        <f t="shared" si="202"/>
        <v>1320</v>
      </c>
      <c r="CM84" s="91">
        <f t="shared" si="202"/>
        <v>1320</v>
      </c>
      <c r="CN84" s="91">
        <f t="shared" si="149"/>
        <v>0</v>
      </c>
      <c r="CO84" s="91">
        <f t="shared" si="149"/>
        <v>5167.4799999999996</v>
      </c>
      <c r="CP84" s="91">
        <f t="shared" si="149"/>
        <v>5167.4799999999996</v>
      </c>
      <c r="CQ84" s="91">
        <f t="shared" si="149"/>
        <v>3627.48</v>
      </c>
    </row>
    <row r="85" spans="1:95" ht="16.5" x14ac:dyDescent="0.3">
      <c r="A85" s="9"/>
      <c r="B85" s="134" t="s">
        <v>156</v>
      </c>
      <c r="C85" s="174">
        <v>10000</v>
      </c>
      <c r="D85" s="18"/>
      <c r="E85" s="43"/>
      <c r="F85" s="170">
        <f t="shared" si="150"/>
        <v>-10000</v>
      </c>
      <c r="G85" s="83">
        <v>10000</v>
      </c>
      <c r="H85" s="18">
        <v>1000</v>
      </c>
      <c r="I85" s="18"/>
      <c r="J85" s="19">
        <f t="shared" si="203"/>
        <v>-9000</v>
      </c>
      <c r="K85" s="17">
        <v>10000</v>
      </c>
      <c r="L85" s="18"/>
      <c r="M85" s="18"/>
      <c r="N85" s="19">
        <f t="shared" si="180"/>
        <v>-10000</v>
      </c>
      <c r="O85" s="17">
        <f t="shared" si="199"/>
        <v>30000</v>
      </c>
      <c r="P85" s="43">
        <f t="shared" si="192"/>
        <v>1000</v>
      </c>
      <c r="Q85" s="43">
        <f t="shared" si="192"/>
        <v>0</v>
      </c>
      <c r="R85" s="19">
        <f t="shared" si="155"/>
        <v>-29000</v>
      </c>
      <c r="S85" s="17">
        <v>10000</v>
      </c>
      <c r="T85" s="18"/>
      <c r="U85" s="43">
        <v>100000</v>
      </c>
      <c r="V85" s="19">
        <f>T85-S85</f>
        <v>-10000</v>
      </c>
      <c r="W85" s="17">
        <v>10000</v>
      </c>
      <c r="X85" s="18"/>
      <c r="Y85" s="19"/>
      <c r="Z85" s="18">
        <f t="shared" si="182"/>
        <v>-10000</v>
      </c>
      <c r="AA85" s="83">
        <v>10000</v>
      </c>
      <c r="AB85" s="18"/>
      <c r="AC85" s="43"/>
      <c r="AD85" s="19">
        <f t="shared" si="158"/>
        <v>-10000</v>
      </c>
      <c r="AE85" s="17">
        <f t="shared" si="193"/>
        <v>30000</v>
      </c>
      <c r="AF85" s="18">
        <f t="shared" si="193"/>
        <v>0</v>
      </c>
      <c r="AG85" s="18">
        <f t="shared" si="193"/>
        <v>100000</v>
      </c>
      <c r="AH85" s="19">
        <f t="shared" si="194"/>
        <v>-30000</v>
      </c>
      <c r="AI85" s="17">
        <f t="shared" si="200"/>
        <v>60000</v>
      </c>
      <c r="AJ85" s="18">
        <f t="shared" si="200"/>
        <v>1000</v>
      </c>
      <c r="AK85" s="18">
        <f t="shared" si="200"/>
        <v>100000</v>
      </c>
      <c r="AL85" s="19">
        <f t="shared" si="162"/>
        <v>-59000</v>
      </c>
      <c r="AM85" s="17">
        <v>10000</v>
      </c>
      <c r="AN85" s="18"/>
      <c r="AO85" s="18"/>
      <c r="AP85" s="20">
        <f>AN85-AM85</f>
        <v>-10000</v>
      </c>
      <c r="AQ85" s="17">
        <v>10000</v>
      </c>
      <c r="AR85" s="18"/>
      <c r="AS85" s="43"/>
      <c r="AT85" s="20">
        <f t="shared" si="184"/>
        <v>-10000</v>
      </c>
      <c r="AU85" s="17">
        <v>10000</v>
      </c>
      <c r="AV85" s="18"/>
      <c r="AW85" s="43"/>
      <c r="AX85" s="20">
        <f t="shared" si="185"/>
        <v>-10000</v>
      </c>
      <c r="AY85" s="17">
        <f t="shared" si="195"/>
        <v>30000</v>
      </c>
      <c r="AZ85" s="18">
        <f t="shared" si="195"/>
        <v>0</v>
      </c>
      <c r="BA85" s="18">
        <f t="shared" si="195"/>
        <v>0</v>
      </c>
      <c r="BB85" s="19">
        <f>AZ85-AY85</f>
        <v>-30000</v>
      </c>
      <c r="BC85" s="194">
        <f t="shared" si="196"/>
        <v>90000</v>
      </c>
      <c r="BD85" s="124">
        <f t="shared" si="196"/>
        <v>1000</v>
      </c>
      <c r="BE85" s="124">
        <f t="shared" si="196"/>
        <v>100000</v>
      </c>
      <c r="BF85" s="170">
        <f t="shared" si="169"/>
        <v>-89000</v>
      </c>
      <c r="BG85" s="83">
        <v>10000</v>
      </c>
      <c r="BH85" s="18">
        <v>89100</v>
      </c>
      <c r="BI85" s="43">
        <v>89100</v>
      </c>
      <c r="BJ85" s="41">
        <f t="shared" si="186"/>
        <v>79100</v>
      </c>
      <c r="BK85" s="44">
        <v>10000</v>
      </c>
      <c r="BL85" s="43">
        <f>15000+277</f>
        <v>15277</v>
      </c>
      <c r="BM85" s="43">
        <f>15000+277</f>
        <v>15277</v>
      </c>
      <c r="BN85" s="41">
        <f t="shared" si="187"/>
        <v>5277</v>
      </c>
      <c r="BO85" s="44">
        <v>10000</v>
      </c>
      <c r="BP85" s="43">
        <f>89100+659932+135000+40000+200000+61414.8</f>
        <v>1185446.8</v>
      </c>
      <c r="BQ85" s="43">
        <f>16951.04+3500+4433250</f>
        <v>4453701.04</v>
      </c>
      <c r="BR85" s="41">
        <f t="shared" si="172"/>
        <v>1175446.8</v>
      </c>
      <c r="BS85" s="17">
        <f t="shared" si="197"/>
        <v>30000</v>
      </c>
      <c r="BT85" s="18">
        <f t="shared" si="197"/>
        <v>1289823.8</v>
      </c>
      <c r="BU85" s="18">
        <f t="shared" si="197"/>
        <v>4558078.04</v>
      </c>
      <c r="BV85" s="20">
        <f t="shared" si="188"/>
        <v>1259823.8</v>
      </c>
      <c r="BW85" s="17">
        <f t="shared" si="198"/>
        <v>60000</v>
      </c>
      <c r="BX85" s="18">
        <f t="shared" si="198"/>
        <v>1289823.8</v>
      </c>
      <c r="BY85" s="18">
        <f t="shared" si="198"/>
        <v>4558078.04</v>
      </c>
      <c r="BZ85" s="20">
        <f t="shared" si="189"/>
        <v>1229823.8</v>
      </c>
      <c r="CA85" s="44">
        <f t="shared" si="201"/>
        <v>120000</v>
      </c>
      <c r="CB85" s="18">
        <f t="shared" si="201"/>
        <v>1290823.8</v>
      </c>
      <c r="CC85" s="18">
        <f t="shared" si="201"/>
        <v>4658078.04</v>
      </c>
      <c r="CD85" s="20">
        <f t="shared" si="190"/>
        <v>1170823.8</v>
      </c>
      <c r="CE85" s="94"/>
      <c r="CF85" s="94"/>
      <c r="CG85" s="94"/>
      <c r="CH85" s="3"/>
      <c r="CI85" s="94"/>
      <c r="CJ85" s="91">
        <f t="shared" si="202"/>
        <v>30000</v>
      </c>
      <c r="CK85" s="91">
        <f t="shared" si="202"/>
        <v>1289823.8</v>
      </c>
      <c r="CL85" s="91">
        <f t="shared" si="202"/>
        <v>4558078.04</v>
      </c>
      <c r="CM85" s="91">
        <f t="shared" si="202"/>
        <v>1259823.8</v>
      </c>
      <c r="CN85" s="91">
        <f t="shared" si="149"/>
        <v>120000</v>
      </c>
      <c r="CO85" s="91">
        <f t="shared" si="149"/>
        <v>1290823.8</v>
      </c>
      <c r="CP85" s="91">
        <f t="shared" si="149"/>
        <v>4658078.04</v>
      </c>
      <c r="CQ85" s="91">
        <f t="shared" si="149"/>
        <v>1170823.8</v>
      </c>
    </row>
    <row r="86" spans="1:95" ht="16.5" x14ac:dyDescent="0.3">
      <c r="A86" s="9"/>
      <c r="B86" s="38" t="s">
        <v>89</v>
      </c>
      <c r="C86" s="168"/>
      <c r="D86" s="18"/>
      <c r="E86" s="95"/>
      <c r="F86" s="170">
        <f t="shared" si="150"/>
        <v>0</v>
      </c>
      <c r="G86" s="89"/>
      <c r="H86" s="31"/>
      <c r="I86" s="31"/>
      <c r="J86" s="19">
        <f t="shared" si="203"/>
        <v>0</v>
      </c>
      <c r="K86" s="25"/>
      <c r="L86" s="31"/>
      <c r="M86" s="95"/>
      <c r="N86" s="19">
        <f t="shared" si="180"/>
        <v>0</v>
      </c>
      <c r="O86" s="17">
        <f t="shared" si="199"/>
        <v>0</v>
      </c>
      <c r="P86" s="43">
        <f t="shared" si="192"/>
        <v>0</v>
      </c>
      <c r="Q86" s="43">
        <f t="shared" si="192"/>
        <v>0</v>
      </c>
      <c r="R86" s="19">
        <f t="shared" si="155"/>
        <v>0</v>
      </c>
      <c r="S86" s="25"/>
      <c r="T86" s="31"/>
      <c r="U86" s="43"/>
      <c r="V86" s="19"/>
      <c r="W86" s="25"/>
      <c r="X86" s="31"/>
      <c r="Y86" s="30"/>
      <c r="Z86" s="18"/>
      <c r="AA86" s="89"/>
      <c r="AB86" s="31"/>
      <c r="AC86" s="95"/>
      <c r="AD86" s="19"/>
      <c r="AE86" s="17">
        <f t="shared" si="193"/>
        <v>0</v>
      </c>
      <c r="AF86" s="18">
        <f t="shared" si="193"/>
        <v>0</v>
      </c>
      <c r="AG86" s="18">
        <f t="shared" si="193"/>
        <v>0</v>
      </c>
      <c r="AH86" s="19">
        <f t="shared" si="194"/>
        <v>0</v>
      </c>
      <c r="AI86" s="17">
        <f t="shared" si="200"/>
        <v>0</v>
      </c>
      <c r="AJ86" s="18">
        <f t="shared" si="200"/>
        <v>0</v>
      </c>
      <c r="AK86" s="18">
        <f t="shared" si="200"/>
        <v>0</v>
      </c>
      <c r="AL86" s="19">
        <f t="shared" si="162"/>
        <v>0</v>
      </c>
      <c r="AM86" s="25"/>
      <c r="AN86" s="31"/>
      <c r="AO86" s="31"/>
      <c r="AP86" s="20"/>
      <c r="AQ86" s="25"/>
      <c r="AR86" s="31"/>
      <c r="AS86" s="95"/>
      <c r="AT86" s="20">
        <f t="shared" si="184"/>
        <v>0</v>
      </c>
      <c r="AU86" s="25">
        <v>3000</v>
      </c>
      <c r="AV86" s="31"/>
      <c r="AW86" s="95"/>
      <c r="AX86" s="20">
        <f t="shared" si="185"/>
        <v>-3000</v>
      </c>
      <c r="AY86" s="17">
        <f t="shared" si="195"/>
        <v>3000</v>
      </c>
      <c r="AZ86" s="18">
        <f t="shared" si="195"/>
        <v>0</v>
      </c>
      <c r="BA86" s="18">
        <f t="shared" si="195"/>
        <v>0</v>
      </c>
      <c r="BB86" s="19">
        <f>AZ86-AY86</f>
        <v>-3000</v>
      </c>
      <c r="BC86" s="194">
        <f t="shared" si="196"/>
        <v>3000</v>
      </c>
      <c r="BD86" s="124">
        <f t="shared" si="196"/>
        <v>0</v>
      </c>
      <c r="BE86" s="124">
        <f t="shared" si="196"/>
        <v>0</v>
      </c>
      <c r="BF86" s="170">
        <f t="shared" si="169"/>
        <v>-3000</v>
      </c>
      <c r="BG86" s="89"/>
      <c r="BH86" s="31"/>
      <c r="BI86" s="95"/>
      <c r="BJ86" s="27"/>
      <c r="BK86" s="90"/>
      <c r="BL86" s="95"/>
      <c r="BM86" s="95"/>
      <c r="BN86" s="27"/>
      <c r="BO86" s="90">
        <v>3000</v>
      </c>
      <c r="BP86" s="43"/>
      <c r="BQ86" s="43"/>
      <c r="BR86" s="41"/>
      <c r="BS86" s="17">
        <f t="shared" si="197"/>
        <v>3000</v>
      </c>
      <c r="BT86" s="18">
        <f t="shared" si="197"/>
        <v>0</v>
      </c>
      <c r="BU86" s="18">
        <f t="shared" si="197"/>
        <v>0</v>
      </c>
      <c r="BV86" s="20">
        <f t="shared" si="188"/>
        <v>-3000</v>
      </c>
      <c r="BW86" s="17">
        <f t="shared" si="198"/>
        <v>6000</v>
      </c>
      <c r="BX86" s="18">
        <f t="shared" si="198"/>
        <v>0</v>
      </c>
      <c r="BY86" s="18">
        <f t="shared" si="198"/>
        <v>0</v>
      </c>
      <c r="BZ86" s="20">
        <f t="shared" si="189"/>
        <v>-6000</v>
      </c>
      <c r="CA86" s="44">
        <f t="shared" si="201"/>
        <v>6000</v>
      </c>
      <c r="CB86" s="18">
        <f t="shared" si="201"/>
        <v>0</v>
      </c>
      <c r="CC86" s="18">
        <f t="shared" si="201"/>
        <v>0</v>
      </c>
      <c r="CD86" s="20">
        <f t="shared" si="190"/>
        <v>-6000</v>
      </c>
      <c r="CE86" s="94"/>
      <c r="CF86" s="94"/>
      <c r="CG86" s="94"/>
      <c r="CH86" s="3"/>
      <c r="CI86" s="94"/>
      <c r="CJ86" s="91">
        <f t="shared" si="202"/>
        <v>3000</v>
      </c>
      <c r="CK86" s="91">
        <f t="shared" si="202"/>
        <v>0</v>
      </c>
      <c r="CL86" s="91">
        <f t="shared" si="202"/>
        <v>0</v>
      </c>
      <c r="CM86" s="91">
        <f t="shared" si="202"/>
        <v>0</v>
      </c>
      <c r="CN86" s="91">
        <f t="shared" si="149"/>
        <v>6000</v>
      </c>
      <c r="CO86" s="91">
        <f t="shared" si="149"/>
        <v>0</v>
      </c>
      <c r="CP86" s="91">
        <f t="shared" si="149"/>
        <v>0</v>
      </c>
      <c r="CQ86" s="91">
        <f t="shared" si="149"/>
        <v>-3000</v>
      </c>
    </row>
    <row r="87" spans="1:95" ht="16.5" x14ac:dyDescent="0.3">
      <c r="A87" s="9"/>
      <c r="B87" s="38" t="s">
        <v>90</v>
      </c>
      <c r="C87" s="168"/>
      <c r="D87" s="31"/>
      <c r="E87" s="95"/>
      <c r="F87" s="170">
        <f t="shared" si="150"/>
        <v>0</v>
      </c>
      <c r="G87" s="89"/>
      <c r="H87" s="31"/>
      <c r="I87" s="31"/>
      <c r="J87" s="19">
        <f t="shared" si="203"/>
        <v>0</v>
      </c>
      <c r="K87" s="25"/>
      <c r="L87" s="31"/>
      <c r="M87" s="95"/>
      <c r="N87" s="19">
        <f t="shared" si="180"/>
        <v>0</v>
      </c>
      <c r="O87" s="17">
        <f t="shared" si="199"/>
        <v>0</v>
      </c>
      <c r="P87" s="43">
        <f t="shared" si="192"/>
        <v>0</v>
      </c>
      <c r="Q87" s="43">
        <f t="shared" si="192"/>
        <v>0</v>
      </c>
      <c r="R87" s="19">
        <f t="shared" si="155"/>
        <v>0</v>
      </c>
      <c r="S87" s="25"/>
      <c r="T87" s="31"/>
      <c r="U87" s="43"/>
      <c r="V87" s="19"/>
      <c r="W87" s="25"/>
      <c r="X87" s="31"/>
      <c r="Y87" s="30"/>
      <c r="Z87" s="18"/>
      <c r="AA87" s="89"/>
      <c r="AB87" s="31"/>
      <c r="AC87" s="95"/>
      <c r="AD87" s="19"/>
      <c r="AE87" s="17">
        <f t="shared" si="193"/>
        <v>0</v>
      </c>
      <c r="AF87" s="18">
        <f t="shared" si="193"/>
        <v>0</v>
      </c>
      <c r="AG87" s="18">
        <f t="shared" si="193"/>
        <v>0</v>
      </c>
      <c r="AH87" s="19">
        <f t="shared" si="194"/>
        <v>0</v>
      </c>
      <c r="AI87" s="17">
        <f t="shared" si="200"/>
        <v>0</v>
      </c>
      <c r="AJ87" s="18">
        <f t="shared" si="200"/>
        <v>0</v>
      </c>
      <c r="AK87" s="18">
        <f t="shared" si="200"/>
        <v>0</v>
      </c>
      <c r="AL87" s="19">
        <f t="shared" si="162"/>
        <v>0</v>
      </c>
      <c r="AM87" s="25"/>
      <c r="AN87" s="31"/>
      <c r="AO87" s="31"/>
      <c r="AP87" s="20"/>
      <c r="AQ87" s="25"/>
      <c r="AR87" s="31"/>
      <c r="AS87" s="95"/>
      <c r="AT87" s="20"/>
      <c r="AU87" s="25"/>
      <c r="AV87" s="31"/>
      <c r="AW87" s="95"/>
      <c r="AX87" s="20"/>
      <c r="AY87" s="17"/>
      <c r="AZ87" s="18"/>
      <c r="BA87" s="18"/>
      <c r="BB87" s="19"/>
      <c r="BC87" s="194"/>
      <c r="BD87" s="124"/>
      <c r="BE87" s="124"/>
      <c r="BF87" s="170"/>
      <c r="BG87" s="89"/>
      <c r="BH87" s="31"/>
      <c r="BI87" s="95"/>
      <c r="BJ87" s="27"/>
      <c r="BK87" s="90"/>
      <c r="BL87" s="95"/>
      <c r="BM87" s="95"/>
      <c r="BN87" s="27"/>
      <c r="BO87" s="90"/>
      <c r="BP87" s="95"/>
      <c r="BQ87" s="95"/>
      <c r="BR87" s="41"/>
      <c r="BS87" s="17"/>
      <c r="BT87" s="18">
        <f t="shared" si="197"/>
        <v>0</v>
      </c>
      <c r="BU87" s="18"/>
      <c r="BV87" s="20"/>
      <c r="BW87" s="17"/>
      <c r="BX87" s="18"/>
      <c r="BY87" s="18"/>
      <c r="BZ87" s="20"/>
      <c r="CA87" s="17"/>
      <c r="CB87" s="18"/>
      <c r="CC87" s="18">
        <f t="shared" si="201"/>
        <v>0</v>
      </c>
      <c r="CD87" s="20"/>
      <c r="CE87" s="94"/>
      <c r="CF87" s="94"/>
      <c r="CG87" s="94"/>
      <c r="CH87" s="3"/>
      <c r="CI87" s="94"/>
      <c r="CJ87" s="91">
        <f t="shared" si="202"/>
        <v>0</v>
      </c>
      <c r="CK87" s="91">
        <f t="shared" si="202"/>
        <v>0</v>
      </c>
      <c r="CL87" s="91">
        <f t="shared" si="202"/>
        <v>0</v>
      </c>
      <c r="CM87" s="91">
        <f t="shared" si="202"/>
        <v>0</v>
      </c>
      <c r="CN87" s="91">
        <f t="shared" si="149"/>
        <v>0</v>
      </c>
      <c r="CO87" s="91">
        <f t="shared" si="149"/>
        <v>0</v>
      </c>
      <c r="CP87" s="91">
        <f t="shared" si="149"/>
        <v>0</v>
      </c>
      <c r="CQ87" s="91">
        <f t="shared" si="149"/>
        <v>0</v>
      </c>
    </row>
    <row r="88" spans="1:95" ht="25.5" customHeight="1" x14ac:dyDescent="0.3">
      <c r="A88" s="9">
        <v>10</v>
      </c>
      <c r="B88" s="33" t="s">
        <v>91</v>
      </c>
      <c r="C88" s="168"/>
      <c r="D88" s="31"/>
      <c r="E88" s="95"/>
      <c r="F88" s="170">
        <f t="shared" si="150"/>
        <v>0</v>
      </c>
      <c r="G88" s="89"/>
      <c r="H88" s="31"/>
      <c r="I88" s="31"/>
      <c r="J88" s="19">
        <f t="shared" si="203"/>
        <v>0</v>
      </c>
      <c r="K88" s="17">
        <v>3000</v>
      </c>
      <c r="L88" s="31"/>
      <c r="M88" s="95"/>
      <c r="N88" s="30">
        <f t="shared" si="180"/>
        <v>-3000</v>
      </c>
      <c r="O88" s="95">
        <f t="shared" ref="O88:O89" si="204">K88+G88+C88</f>
        <v>3000</v>
      </c>
      <c r="P88" s="95">
        <f t="shared" si="192"/>
        <v>0</v>
      </c>
      <c r="Q88" s="95">
        <f t="shared" si="192"/>
        <v>0</v>
      </c>
      <c r="R88" s="30">
        <f t="shared" si="155"/>
        <v>-3000</v>
      </c>
      <c r="S88" s="25"/>
      <c r="T88" s="31"/>
      <c r="U88" s="95"/>
      <c r="V88" s="19">
        <f>T88-S88</f>
        <v>0</v>
      </c>
      <c r="W88" s="25"/>
      <c r="X88" s="31"/>
      <c r="Y88" s="30"/>
      <c r="Z88" s="18">
        <f t="shared" ref="Z88:Z104" si="205">X88-W88</f>
        <v>0</v>
      </c>
      <c r="AA88" s="83">
        <v>3000</v>
      </c>
      <c r="AB88" s="31"/>
      <c r="AC88" s="95"/>
      <c r="AD88" s="19">
        <f t="shared" ref="AD88:AD104" si="206">AB88-AA88</f>
        <v>-3000</v>
      </c>
      <c r="AE88" s="17">
        <f t="shared" si="193"/>
        <v>3000</v>
      </c>
      <c r="AF88" s="18">
        <f t="shared" si="193"/>
        <v>0</v>
      </c>
      <c r="AG88" s="18">
        <f t="shared" si="193"/>
        <v>0</v>
      </c>
      <c r="AH88" s="19">
        <f t="shared" si="194"/>
        <v>-3000</v>
      </c>
      <c r="AI88" s="17">
        <f t="shared" si="200"/>
        <v>6000</v>
      </c>
      <c r="AJ88" s="18">
        <f t="shared" si="200"/>
        <v>0</v>
      </c>
      <c r="AK88" s="18">
        <f t="shared" si="200"/>
        <v>0</v>
      </c>
      <c r="AL88" s="19">
        <f t="shared" si="162"/>
        <v>-6000</v>
      </c>
      <c r="AM88" s="25"/>
      <c r="AN88" s="31"/>
      <c r="AO88" s="31"/>
      <c r="AP88" s="20">
        <f t="shared" ref="AP88:AP104" si="207">AN88-AM88</f>
        <v>0</v>
      </c>
      <c r="AQ88" s="25"/>
      <c r="AR88" s="31"/>
      <c r="AS88" s="95"/>
      <c r="AT88" s="20">
        <f t="shared" ref="AT88:AT104" si="208">AR88-AQ88</f>
        <v>0</v>
      </c>
      <c r="AU88" s="17"/>
      <c r="AV88" s="18"/>
      <c r="AW88" s="43"/>
      <c r="AX88" s="20">
        <f t="shared" ref="AX88:AX104" si="209">AV88-AU88</f>
        <v>0</v>
      </c>
      <c r="AY88" s="17">
        <f t="shared" ref="AY88:BA93" si="210">AM88+AQ88+AU88</f>
        <v>0</v>
      </c>
      <c r="AZ88" s="18">
        <f t="shared" si="210"/>
        <v>0</v>
      </c>
      <c r="BA88" s="18">
        <f t="shared" si="210"/>
        <v>0</v>
      </c>
      <c r="BB88" s="19">
        <f t="shared" ref="BB88:BB104" si="211">AZ88-AY88</f>
        <v>0</v>
      </c>
      <c r="BC88" s="194">
        <f t="shared" ref="BC88:BE100" si="212">(AI88+AY88)</f>
        <v>6000</v>
      </c>
      <c r="BD88" s="124">
        <f t="shared" si="212"/>
        <v>0</v>
      </c>
      <c r="BE88" s="124">
        <f t="shared" si="212"/>
        <v>0</v>
      </c>
      <c r="BF88" s="170">
        <f t="shared" ref="BF88:BF104" si="213">BD88-BC88</f>
        <v>-6000</v>
      </c>
      <c r="BG88" s="83"/>
      <c r="BH88" s="18"/>
      <c r="BI88" s="43"/>
      <c r="BJ88" s="41">
        <f t="shared" ref="BJ88:BJ104" si="214">BH88-BG88</f>
        <v>0</v>
      </c>
      <c r="BK88" s="44"/>
      <c r="BL88" s="43"/>
      <c r="BM88" s="43"/>
      <c r="BN88" s="41">
        <f t="shared" ref="BN88:BN104" si="215">BL88-BK88</f>
        <v>0</v>
      </c>
      <c r="BO88" s="44"/>
      <c r="BP88" s="43"/>
      <c r="BQ88" s="95"/>
      <c r="BR88" s="41">
        <f t="shared" ref="BR88:BR104" si="216">BP88-BO88</f>
        <v>0</v>
      </c>
      <c r="BS88" s="17">
        <f t="shared" ref="BS88:BU100" si="217">BG88+BK88+BO88</f>
        <v>0</v>
      </c>
      <c r="BT88" s="18">
        <f t="shared" si="197"/>
        <v>0</v>
      </c>
      <c r="BU88" s="18">
        <f t="shared" si="217"/>
        <v>0</v>
      </c>
      <c r="BV88" s="20">
        <f t="shared" ref="BV88:BV104" si="218">BT88-BS88</f>
        <v>0</v>
      </c>
      <c r="BW88" s="17">
        <f t="shared" ref="BW88:BY100" si="219">BS88+AY88</f>
        <v>0</v>
      </c>
      <c r="BX88" s="18">
        <f t="shared" si="219"/>
        <v>0</v>
      </c>
      <c r="BY88" s="18">
        <f t="shared" si="219"/>
        <v>0</v>
      </c>
      <c r="BZ88" s="20">
        <f t="shared" ref="BZ88:BZ105" si="220">BX88-BW88</f>
        <v>0</v>
      </c>
      <c r="CA88" s="17">
        <f t="shared" ref="CA88:CB93" si="221">BW88+AI88</f>
        <v>6000</v>
      </c>
      <c r="CB88" s="18">
        <f t="shared" si="221"/>
        <v>0</v>
      </c>
      <c r="CC88" s="18">
        <f t="shared" si="201"/>
        <v>0</v>
      </c>
      <c r="CD88" s="20">
        <f t="shared" ref="CD88:CD105" si="222">CB88-CA88</f>
        <v>-6000</v>
      </c>
      <c r="CE88" s="94"/>
      <c r="CF88" s="94"/>
      <c r="CG88" s="94"/>
      <c r="CH88" s="3"/>
      <c r="CI88" s="94"/>
      <c r="CJ88" s="91">
        <f t="shared" si="202"/>
        <v>0</v>
      </c>
      <c r="CK88" s="91">
        <f t="shared" si="202"/>
        <v>0</v>
      </c>
      <c r="CL88" s="91">
        <f t="shared" si="202"/>
        <v>0</v>
      </c>
      <c r="CM88" s="91">
        <f t="shared" si="202"/>
        <v>0</v>
      </c>
      <c r="CN88" s="91">
        <f t="shared" si="149"/>
        <v>6000</v>
      </c>
      <c r="CO88" s="91">
        <f t="shared" si="149"/>
        <v>0</v>
      </c>
      <c r="CP88" s="91">
        <f t="shared" si="149"/>
        <v>0</v>
      </c>
      <c r="CQ88" s="91">
        <f t="shared" si="149"/>
        <v>-6000</v>
      </c>
    </row>
    <row r="89" spans="1:95" ht="25.5" customHeight="1" x14ac:dyDescent="0.3">
      <c r="A89" s="9">
        <v>11</v>
      </c>
      <c r="B89" s="29" t="s">
        <v>174</v>
      </c>
      <c r="C89" s="174"/>
      <c r="D89" s="31"/>
      <c r="E89" s="95"/>
      <c r="F89" s="170">
        <f t="shared" si="150"/>
        <v>0</v>
      </c>
      <c r="G89" s="143"/>
      <c r="H89" s="31"/>
      <c r="I89" s="31"/>
      <c r="J89" s="19">
        <f t="shared" si="203"/>
        <v>0</v>
      </c>
      <c r="K89" s="135"/>
      <c r="L89" s="31"/>
      <c r="M89" s="95"/>
      <c r="N89" s="30">
        <f t="shared" si="180"/>
        <v>0</v>
      </c>
      <c r="O89" s="95">
        <f t="shared" si="204"/>
        <v>0</v>
      </c>
      <c r="P89" s="95">
        <f t="shared" si="192"/>
        <v>0</v>
      </c>
      <c r="Q89" s="95">
        <f t="shared" si="192"/>
        <v>0</v>
      </c>
      <c r="R89" s="30">
        <f t="shared" si="155"/>
        <v>0</v>
      </c>
      <c r="S89" s="135"/>
      <c r="T89" s="31"/>
      <c r="U89" s="95"/>
      <c r="V89" s="19">
        <f>T89-S89</f>
        <v>0</v>
      </c>
      <c r="W89" s="17"/>
      <c r="X89" s="31"/>
      <c r="Y89" s="30"/>
      <c r="Z89" s="18">
        <f t="shared" si="205"/>
        <v>0</v>
      </c>
      <c r="AA89" s="83"/>
      <c r="AB89" s="31"/>
      <c r="AC89" s="95"/>
      <c r="AD89" s="30">
        <f t="shared" si="206"/>
        <v>0</v>
      </c>
      <c r="AE89" s="25">
        <f t="shared" si="193"/>
        <v>0</v>
      </c>
      <c r="AF89" s="31">
        <f t="shared" si="193"/>
        <v>0</v>
      </c>
      <c r="AG89" s="31">
        <f t="shared" si="193"/>
        <v>0</v>
      </c>
      <c r="AH89" s="30">
        <f t="shared" si="194"/>
        <v>0</v>
      </c>
      <c r="AI89" s="25">
        <f t="shared" si="200"/>
        <v>0</v>
      </c>
      <c r="AJ89" s="31">
        <f t="shared" si="200"/>
        <v>0</v>
      </c>
      <c r="AK89" s="31">
        <f t="shared" si="200"/>
        <v>0</v>
      </c>
      <c r="AL89" s="30">
        <f t="shared" si="162"/>
        <v>0</v>
      </c>
      <c r="AM89" s="70"/>
      <c r="AN89" s="31"/>
      <c r="AO89" s="31"/>
      <c r="AP89" s="32">
        <f t="shared" si="207"/>
        <v>0</v>
      </c>
      <c r="AQ89" s="70"/>
      <c r="AR89" s="31"/>
      <c r="AS89" s="95"/>
      <c r="AT89" s="32">
        <f t="shared" si="208"/>
        <v>0</v>
      </c>
      <c r="AU89" s="70"/>
      <c r="AV89" s="18"/>
      <c r="AW89" s="95"/>
      <c r="AX89" s="32">
        <f t="shared" si="209"/>
        <v>0</v>
      </c>
      <c r="AY89" s="25">
        <f t="shared" si="210"/>
        <v>0</v>
      </c>
      <c r="AZ89" s="31">
        <f t="shared" si="210"/>
        <v>0</v>
      </c>
      <c r="BA89" s="31">
        <f t="shared" si="210"/>
        <v>0</v>
      </c>
      <c r="BB89" s="30">
        <f t="shared" si="211"/>
        <v>0</v>
      </c>
      <c r="BC89" s="190">
        <f t="shared" si="212"/>
        <v>0</v>
      </c>
      <c r="BD89" s="84">
        <f t="shared" si="212"/>
        <v>0</v>
      </c>
      <c r="BE89" s="84">
        <f t="shared" si="212"/>
        <v>0</v>
      </c>
      <c r="BF89" s="170">
        <f t="shared" si="213"/>
        <v>0</v>
      </c>
      <c r="BG89" s="184"/>
      <c r="BH89" s="31">
        <v>667762.30000000005</v>
      </c>
      <c r="BI89" s="43">
        <v>667762.30000000005</v>
      </c>
      <c r="BJ89" s="27">
        <f t="shared" si="214"/>
        <v>667762.30000000005</v>
      </c>
      <c r="BK89" s="136"/>
      <c r="BL89" s="95"/>
      <c r="BM89" s="95"/>
      <c r="BN89" s="27">
        <f t="shared" si="215"/>
        <v>0</v>
      </c>
      <c r="BO89" s="136"/>
      <c r="BP89" s="95">
        <v>206114.8</v>
      </c>
      <c r="BQ89" s="95">
        <v>206114.8</v>
      </c>
      <c r="BR89" s="41">
        <f t="shared" si="216"/>
        <v>206114.8</v>
      </c>
      <c r="BS89" s="17">
        <f t="shared" si="217"/>
        <v>0</v>
      </c>
      <c r="BT89" s="18">
        <f t="shared" si="217"/>
        <v>873877.10000000009</v>
      </c>
      <c r="BU89" s="18">
        <f t="shared" si="217"/>
        <v>873877.10000000009</v>
      </c>
      <c r="BV89" s="20">
        <f t="shared" si="218"/>
        <v>873877.10000000009</v>
      </c>
      <c r="BW89" s="17">
        <f t="shared" si="219"/>
        <v>0</v>
      </c>
      <c r="BX89" s="18">
        <f t="shared" si="219"/>
        <v>873877.10000000009</v>
      </c>
      <c r="BY89" s="18">
        <f t="shared" si="219"/>
        <v>873877.10000000009</v>
      </c>
      <c r="BZ89" s="20">
        <f t="shared" si="220"/>
        <v>873877.10000000009</v>
      </c>
      <c r="CA89" s="17">
        <f t="shared" si="221"/>
        <v>0</v>
      </c>
      <c r="CB89" s="18">
        <f t="shared" si="221"/>
        <v>873877.10000000009</v>
      </c>
      <c r="CC89" s="18">
        <f t="shared" si="201"/>
        <v>873877.10000000009</v>
      </c>
      <c r="CD89" s="20">
        <f t="shared" si="222"/>
        <v>873877.10000000009</v>
      </c>
      <c r="CE89" s="94"/>
      <c r="CF89" s="94"/>
      <c r="CG89" s="94"/>
      <c r="CH89" s="3"/>
      <c r="CI89" s="94"/>
      <c r="CJ89" s="91">
        <f t="shared" si="202"/>
        <v>0</v>
      </c>
      <c r="CK89" s="91">
        <f t="shared" si="202"/>
        <v>873877.10000000009</v>
      </c>
      <c r="CL89" s="91">
        <f t="shared" si="202"/>
        <v>873877.10000000009</v>
      </c>
      <c r="CM89" s="91">
        <f t="shared" si="202"/>
        <v>873877.10000000009</v>
      </c>
      <c r="CN89" s="91">
        <f t="shared" si="149"/>
        <v>0</v>
      </c>
      <c r="CO89" s="91">
        <f t="shared" si="149"/>
        <v>873877.10000000009</v>
      </c>
      <c r="CP89" s="91">
        <f t="shared" si="149"/>
        <v>873877.10000000009</v>
      </c>
      <c r="CQ89" s="91">
        <f t="shared" si="149"/>
        <v>873877.10000000009</v>
      </c>
    </row>
    <row r="90" spans="1:95" ht="18" customHeight="1" x14ac:dyDescent="0.3">
      <c r="A90" s="9">
        <v>11</v>
      </c>
      <c r="B90" s="47" t="s">
        <v>157</v>
      </c>
      <c r="C90" s="168">
        <v>279591.21999999997</v>
      </c>
      <c r="D90" s="43">
        <v>133083.04999999999</v>
      </c>
      <c r="E90" s="43">
        <v>198843.78</v>
      </c>
      <c r="F90" s="170">
        <f t="shared" si="150"/>
        <v>-146508.16999999998</v>
      </c>
      <c r="G90" s="89">
        <v>279591.21999999997</v>
      </c>
      <c r="H90" s="18">
        <v>212296.56</v>
      </c>
      <c r="I90" s="43">
        <v>133083.04999999999</v>
      </c>
      <c r="J90" s="19">
        <f t="shared" si="203"/>
        <v>-67294.659999999974</v>
      </c>
      <c r="K90" s="25">
        <v>279591.21999999997</v>
      </c>
      <c r="L90" s="31">
        <v>208591.78</v>
      </c>
      <c r="M90" s="43">
        <v>212296.56</v>
      </c>
      <c r="N90" s="19">
        <f t="shared" si="180"/>
        <v>-70999.439999999973</v>
      </c>
      <c r="O90" s="17">
        <f t="shared" si="199"/>
        <v>838773.65999999992</v>
      </c>
      <c r="P90" s="17">
        <f t="shared" si="199"/>
        <v>553971.39</v>
      </c>
      <c r="Q90" s="17">
        <f t="shared" si="199"/>
        <v>544223.3899999999</v>
      </c>
      <c r="R90" s="19">
        <f t="shared" si="155"/>
        <v>-284802.2699999999</v>
      </c>
      <c r="S90" s="17">
        <v>279591.21999999997</v>
      </c>
      <c r="T90" s="18">
        <v>65956.73</v>
      </c>
      <c r="U90" s="43">
        <v>208591.78</v>
      </c>
      <c r="V90" s="19">
        <f>T90-S90</f>
        <v>-213634.49</v>
      </c>
      <c r="W90" s="17">
        <v>279591.21999999997</v>
      </c>
      <c r="X90" s="18">
        <v>132514.65</v>
      </c>
      <c r="Y90" s="37">
        <v>65956.73</v>
      </c>
      <c r="Z90" s="18">
        <f t="shared" si="205"/>
        <v>-147076.56999999998</v>
      </c>
      <c r="AA90" s="83">
        <v>279591.21999999997</v>
      </c>
      <c r="AB90" s="18">
        <v>94333.5</v>
      </c>
      <c r="AC90" s="43">
        <v>132514.65</v>
      </c>
      <c r="AD90" s="30">
        <f t="shared" si="206"/>
        <v>-185257.71999999997</v>
      </c>
      <c r="AE90" s="17">
        <f t="shared" si="193"/>
        <v>838773.65999999992</v>
      </c>
      <c r="AF90" s="17">
        <f t="shared" si="193"/>
        <v>292804.88</v>
      </c>
      <c r="AG90" s="17">
        <f t="shared" si="193"/>
        <v>407063.16000000003</v>
      </c>
      <c r="AH90" s="19">
        <f t="shared" si="194"/>
        <v>-545968.77999999991</v>
      </c>
      <c r="AI90" s="25">
        <f t="shared" si="200"/>
        <v>1677547.3199999998</v>
      </c>
      <c r="AJ90" s="25">
        <f t="shared" si="200"/>
        <v>846776.27</v>
      </c>
      <c r="AK90" s="25">
        <f t="shared" si="200"/>
        <v>951286.54999999993</v>
      </c>
      <c r="AL90" s="30">
        <f t="shared" si="162"/>
        <v>-830771.04999999981</v>
      </c>
      <c r="AM90" s="25">
        <v>293995.62</v>
      </c>
      <c r="AN90" s="31">
        <v>132628.49</v>
      </c>
      <c r="AO90" s="31">
        <v>94333.5</v>
      </c>
      <c r="AP90" s="32">
        <f t="shared" si="207"/>
        <v>-161367.13</v>
      </c>
      <c r="AQ90" s="25">
        <v>293995.62</v>
      </c>
      <c r="AR90" s="31">
        <v>83515.360000000001</v>
      </c>
      <c r="AS90" s="95">
        <v>132628.49</v>
      </c>
      <c r="AT90" s="32">
        <f t="shared" si="208"/>
        <v>-210480.26</v>
      </c>
      <c r="AU90" s="25">
        <v>293995.62</v>
      </c>
      <c r="AV90" s="31">
        <v>134338.68</v>
      </c>
      <c r="AW90" s="95">
        <v>83515.360000000001</v>
      </c>
      <c r="AX90" s="32">
        <f t="shared" si="209"/>
        <v>-159656.94</v>
      </c>
      <c r="AY90" s="25">
        <f t="shared" si="210"/>
        <v>881986.86</v>
      </c>
      <c r="AZ90" s="31">
        <f t="shared" si="210"/>
        <v>350482.52999999997</v>
      </c>
      <c r="BA90" s="31">
        <f t="shared" si="210"/>
        <v>310477.34999999998</v>
      </c>
      <c r="BB90" s="30">
        <f t="shared" si="211"/>
        <v>-531504.33000000007</v>
      </c>
      <c r="BC90" s="191">
        <f t="shared" si="212"/>
        <v>2559534.1799999997</v>
      </c>
      <c r="BD90" s="96">
        <f t="shared" si="212"/>
        <v>1197258.8</v>
      </c>
      <c r="BE90" s="96">
        <f t="shared" si="212"/>
        <v>1261763.8999999999</v>
      </c>
      <c r="BF90" s="178">
        <f t="shared" si="213"/>
        <v>-1362275.3799999997</v>
      </c>
      <c r="BG90" s="25">
        <v>293995.62</v>
      </c>
      <c r="BH90" s="31">
        <v>168555.71</v>
      </c>
      <c r="BI90" s="95">
        <v>134338.68</v>
      </c>
      <c r="BJ90" s="27">
        <f t="shared" si="214"/>
        <v>-125439.91</v>
      </c>
      <c r="BK90" s="25">
        <v>293995.62</v>
      </c>
      <c r="BL90" s="95">
        <v>222609.61</v>
      </c>
      <c r="BM90" s="95">
        <v>168555.71</v>
      </c>
      <c r="BN90" s="27">
        <f t="shared" si="215"/>
        <v>-71386.010000000009</v>
      </c>
      <c r="BO90" s="25">
        <v>293995.62</v>
      </c>
      <c r="BP90" s="95">
        <v>207787.26</v>
      </c>
      <c r="BQ90" s="95">
        <v>222609.61</v>
      </c>
      <c r="BR90" s="41">
        <f t="shared" si="216"/>
        <v>-86208.359999999986</v>
      </c>
      <c r="BS90" s="17">
        <f t="shared" si="217"/>
        <v>881986.86</v>
      </c>
      <c r="BT90" s="18">
        <f t="shared" si="217"/>
        <v>598952.57999999996</v>
      </c>
      <c r="BU90" s="18">
        <f t="shared" si="217"/>
        <v>525504</v>
      </c>
      <c r="BV90" s="20">
        <f t="shared" si="218"/>
        <v>-283034.28000000003</v>
      </c>
      <c r="BW90" s="17">
        <f t="shared" si="219"/>
        <v>1763973.72</v>
      </c>
      <c r="BX90" s="18">
        <f t="shared" si="219"/>
        <v>949435.10999999987</v>
      </c>
      <c r="BY90" s="18">
        <f t="shared" si="219"/>
        <v>835981.35</v>
      </c>
      <c r="BZ90" s="20">
        <f t="shared" si="220"/>
        <v>-814538.6100000001</v>
      </c>
      <c r="CA90" s="17">
        <f t="shared" si="221"/>
        <v>3441521.04</v>
      </c>
      <c r="CB90" s="18">
        <f t="shared" si="221"/>
        <v>1796211.38</v>
      </c>
      <c r="CC90" s="18">
        <f t="shared" si="201"/>
        <v>1787267.9</v>
      </c>
      <c r="CD90" s="20">
        <f t="shared" si="222"/>
        <v>-1645309.6600000001</v>
      </c>
      <c r="CE90" s="94"/>
      <c r="CF90" s="94"/>
      <c r="CG90" s="94"/>
      <c r="CH90" s="3"/>
      <c r="CI90" s="94"/>
      <c r="CJ90" s="91">
        <f t="shared" si="202"/>
        <v>881986.86</v>
      </c>
      <c r="CK90" s="91">
        <f t="shared" si="202"/>
        <v>598952.57999999996</v>
      </c>
      <c r="CL90" s="91">
        <f t="shared" si="202"/>
        <v>525504</v>
      </c>
      <c r="CM90" s="91">
        <f t="shared" si="202"/>
        <v>-283034.28000000003</v>
      </c>
      <c r="CN90" s="91">
        <f t="shared" si="149"/>
        <v>3441521.0399999996</v>
      </c>
      <c r="CO90" s="91">
        <f t="shared" si="149"/>
        <v>1796211.38</v>
      </c>
      <c r="CP90" s="91">
        <f t="shared" si="149"/>
        <v>1787267.9</v>
      </c>
      <c r="CQ90" s="91">
        <f t="shared" si="149"/>
        <v>-1645309.66</v>
      </c>
    </row>
    <row r="91" spans="1:95" ht="18" customHeight="1" x14ac:dyDescent="0.3">
      <c r="A91" s="34">
        <v>12</v>
      </c>
      <c r="B91" s="47" t="s">
        <v>31</v>
      </c>
      <c r="C91" s="168"/>
      <c r="D91" s="43"/>
      <c r="E91" s="43"/>
      <c r="F91" s="170"/>
      <c r="G91" s="89">
        <v>16882.09</v>
      </c>
      <c r="H91" s="31"/>
      <c r="I91" s="43"/>
      <c r="J91" s="19"/>
      <c r="K91" s="89">
        <v>16882.09</v>
      </c>
      <c r="L91" s="31"/>
      <c r="M91" s="95"/>
      <c r="N91" s="19">
        <f t="shared" si="180"/>
        <v>-16882.09</v>
      </c>
      <c r="O91" s="17">
        <f t="shared" si="199"/>
        <v>33764.18</v>
      </c>
      <c r="P91" s="17">
        <f t="shared" si="199"/>
        <v>0</v>
      </c>
      <c r="Q91" s="17">
        <f t="shared" si="199"/>
        <v>0</v>
      </c>
      <c r="R91" s="19">
        <f t="shared" si="155"/>
        <v>-33764.18</v>
      </c>
      <c r="S91" s="83">
        <v>16882.09</v>
      </c>
      <c r="T91" s="31"/>
      <c r="U91" s="95"/>
      <c r="V91" s="19"/>
      <c r="W91" s="83">
        <v>16882.09</v>
      </c>
      <c r="X91" s="18"/>
      <c r="Y91" s="37"/>
      <c r="Z91" s="18"/>
      <c r="AA91" s="83">
        <v>16882.09</v>
      </c>
      <c r="AB91" s="18"/>
      <c r="AC91" s="43"/>
      <c r="AD91" s="30"/>
      <c r="AE91" s="17">
        <f t="shared" si="193"/>
        <v>50646.270000000004</v>
      </c>
      <c r="AF91" s="17">
        <f t="shared" si="193"/>
        <v>0</v>
      </c>
      <c r="AG91" s="17">
        <f t="shared" si="193"/>
        <v>0</v>
      </c>
      <c r="AH91" s="19"/>
      <c r="AI91" s="25">
        <f t="shared" si="200"/>
        <v>84410.450000000012</v>
      </c>
      <c r="AJ91" s="25">
        <f t="shared" si="200"/>
        <v>0</v>
      </c>
      <c r="AK91" s="25">
        <f t="shared" si="200"/>
        <v>0</v>
      </c>
      <c r="AL91" s="30">
        <f t="shared" si="162"/>
        <v>-84410.450000000012</v>
      </c>
      <c r="AM91" s="89">
        <v>16882.05</v>
      </c>
      <c r="AN91" s="31"/>
      <c r="AO91" s="31"/>
      <c r="AP91" s="32">
        <f t="shared" si="207"/>
        <v>-16882.05</v>
      </c>
      <c r="AQ91" s="89">
        <v>16882.05</v>
      </c>
      <c r="AR91" s="31"/>
      <c r="AS91" s="95"/>
      <c r="AT91" s="32">
        <f t="shared" si="208"/>
        <v>-16882.05</v>
      </c>
      <c r="AU91" s="89">
        <v>16882.05</v>
      </c>
      <c r="AV91" s="31"/>
      <c r="AW91" s="95"/>
      <c r="AX91" s="32">
        <f t="shared" si="209"/>
        <v>-16882.05</v>
      </c>
      <c r="AY91" s="25">
        <f t="shared" si="210"/>
        <v>50646.149999999994</v>
      </c>
      <c r="AZ91" s="31"/>
      <c r="BA91" s="31"/>
      <c r="BB91" s="30"/>
      <c r="BC91" s="191">
        <f t="shared" si="212"/>
        <v>135056.6</v>
      </c>
      <c r="BD91" s="96"/>
      <c r="BE91" s="96"/>
      <c r="BF91" s="178"/>
      <c r="BG91" s="89">
        <v>16882.05</v>
      </c>
      <c r="BH91" s="31"/>
      <c r="BI91" s="95"/>
      <c r="BJ91" s="27"/>
      <c r="BK91" s="89">
        <v>16882.05</v>
      </c>
      <c r="BL91" s="95"/>
      <c r="BM91" s="95"/>
      <c r="BN91" s="27"/>
      <c r="BO91" s="89">
        <v>16882.05</v>
      </c>
      <c r="BP91" s="95"/>
      <c r="BQ91" s="95"/>
      <c r="BR91" s="41"/>
      <c r="BS91" s="17">
        <f t="shared" si="217"/>
        <v>50646.149999999994</v>
      </c>
      <c r="BT91" s="18"/>
      <c r="BU91" s="18"/>
      <c r="BV91" s="20"/>
      <c r="BW91" s="17">
        <f t="shared" si="219"/>
        <v>101292.29999999999</v>
      </c>
      <c r="BX91" s="18"/>
      <c r="BY91" s="18"/>
      <c r="BZ91" s="20"/>
      <c r="CA91" s="17">
        <f t="shared" si="221"/>
        <v>185702.75</v>
      </c>
      <c r="CB91" s="18"/>
      <c r="CC91" s="18"/>
      <c r="CD91" s="20"/>
      <c r="CE91" s="94"/>
      <c r="CF91" s="94"/>
      <c r="CG91" s="94"/>
      <c r="CH91" s="3"/>
      <c r="CI91" s="94"/>
      <c r="CJ91" s="91"/>
      <c r="CK91" s="91"/>
      <c r="CL91" s="91"/>
      <c r="CM91" s="91"/>
      <c r="CN91" s="91"/>
      <c r="CO91" s="91"/>
      <c r="CP91" s="91"/>
      <c r="CQ91" s="91"/>
    </row>
    <row r="92" spans="1:95" ht="18" customHeight="1" x14ac:dyDescent="0.3">
      <c r="A92" s="34">
        <v>13</v>
      </c>
      <c r="B92" s="47" t="s">
        <v>30</v>
      </c>
      <c r="C92" s="168"/>
      <c r="D92" s="43"/>
      <c r="E92" s="43"/>
      <c r="F92" s="170"/>
      <c r="G92" s="89">
        <v>77763.95</v>
      </c>
      <c r="H92" s="31"/>
      <c r="I92" s="43"/>
      <c r="J92" s="19"/>
      <c r="K92" s="89">
        <v>77763.95</v>
      </c>
      <c r="L92" s="31"/>
      <c r="M92" s="95"/>
      <c r="N92" s="19">
        <f t="shared" si="180"/>
        <v>-77763.95</v>
      </c>
      <c r="O92" s="17">
        <f t="shared" si="199"/>
        <v>155527.9</v>
      </c>
      <c r="P92" s="17">
        <f t="shared" si="199"/>
        <v>0</v>
      </c>
      <c r="Q92" s="17">
        <f t="shared" si="199"/>
        <v>0</v>
      </c>
      <c r="R92" s="19">
        <f t="shared" si="155"/>
        <v>-155527.9</v>
      </c>
      <c r="S92" s="83">
        <v>77763.95</v>
      </c>
      <c r="T92" s="31"/>
      <c r="U92" s="95"/>
      <c r="V92" s="19"/>
      <c r="W92" s="83">
        <v>77763.95</v>
      </c>
      <c r="X92" s="18"/>
      <c r="Y92" s="37"/>
      <c r="Z92" s="18"/>
      <c r="AA92" s="83">
        <v>77763.95</v>
      </c>
      <c r="AB92" s="18"/>
      <c r="AC92" s="43"/>
      <c r="AD92" s="30"/>
      <c r="AE92" s="17">
        <f t="shared" si="193"/>
        <v>233291.84999999998</v>
      </c>
      <c r="AF92" s="17">
        <f t="shared" si="193"/>
        <v>0</v>
      </c>
      <c r="AG92" s="17">
        <f t="shared" si="193"/>
        <v>0</v>
      </c>
      <c r="AH92" s="19"/>
      <c r="AI92" s="25">
        <f t="shared" si="200"/>
        <v>388819.75</v>
      </c>
      <c r="AJ92" s="25">
        <f t="shared" si="200"/>
        <v>0</v>
      </c>
      <c r="AK92" s="25">
        <f t="shared" si="200"/>
        <v>0</v>
      </c>
      <c r="AL92" s="30">
        <f t="shared" si="162"/>
        <v>-388819.75</v>
      </c>
      <c r="AM92" s="89">
        <v>79684.58</v>
      </c>
      <c r="AN92" s="31"/>
      <c r="AO92" s="31"/>
      <c r="AP92" s="32">
        <f t="shared" si="207"/>
        <v>-79684.58</v>
      </c>
      <c r="AQ92" s="89">
        <v>79684.58</v>
      </c>
      <c r="AR92" s="31"/>
      <c r="AS92" s="95"/>
      <c r="AT92" s="32">
        <f t="shared" si="208"/>
        <v>-79684.58</v>
      </c>
      <c r="AU92" s="89">
        <v>79684.58</v>
      </c>
      <c r="AV92" s="31"/>
      <c r="AW92" s="95"/>
      <c r="AX92" s="32">
        <f t="shared" si="209"/>
        <v>-79684.58</v>
      </c>
      <c r="AY92" s="25">
        <f t="shared" si="210"/>
        <v>239053.74</v>
      </c>
      <c r="AZ92" s="31"/>
      <c r="BA92" s="31"/>
      <c r="BB92" s="30"/>
      <c r="BC92" s="191">
        <f t="shared" si="212"/>
        <v>627873.49</v>
      </c>
      <c r="BD92" s="96"/>
      <c r="BE92" s="96"/>
      <c r="BF92" s="178"/>
      <c r="BG92" s="89">
        <v>79684.58</v>
      </c>
      <c r="BH92" s="31"/>
      <c r="BI92" s="95"/>
      <c r="BJ92" s="27"/>
      <c r="BK92" s="89">
        <v>79684.58</v>
      </c>
      <c r="BL92" s="95"/>
      <c r="BM92" s="95"/>
      <c r="BN92" s="27"/>
      <c r="BO92" s="89">
        <v>79684.58</v>
      </c>
      <c r="BP92" s="95"/>
      <c r="BQ92" s="95"/>
      <c r="BR92" s="41"/>
      <c r="BS92" s="17">
        <f t="shared" si="217"/>
        <v>239053.74</v>
      </c>
      <c r="BT92" s="18"/>
      <c r="BU92" s="18"/>
      <c r="BV92" s="20"/>
      <c r="BW92" s="17">
        <f t="shared" si="219"/>
        <v>478107.48</v>
      </c>
      <c r="BX92" s="18"/>
      <c r="BY92" s="18"/>
      <c r="BZ92" s="20"/>
      <c r="CA92" s="17">
        <f t="shared" si="221"/>
        <v>866927.23</v>
      </c>
      <c r="CB92" s="18"/>
      <c r="CC92" s="18"/>
      <c r="CD92" s="20"/>
      <c r="CE92" s="94"/>
      <c r="CF92" s="94"/>
      <c r="CG92" s="94"/>
      <c r="CH92" s="3"/>
      <c r="CI92" s="94"/>
      <c r="CJ92" s="91"/>
      <c r="CK92" s="91"/>
      <c r="CL92" s="91"/>
      <c r="CM92" s="91"/>
      <c r="CN92" s="91"/>
      <c r="CO92" s="91"/>
      <c r="CP92" s="91"/>
      <c r="CQ92" s="91"/>
    </row>
    <row r="93" spans="1:95" ht="18" customHeight="1" x14ac:dyDescent="0.3">
      <c r="A93" s="34">
        <v>14</v>
      </c>
      <c r="B93" s="47" t="s">
        <v>167</v>
      </c>
      <c r="C93" s="168"/>
      <c r="D93" s="43"/>
      <c r="E93" s="43"/>
      <c r="F93" s="170">
        <f t="shared" si="150"/>
        <v>0</v>
      </c>
      <c r="G93" s="89">
        <v>34189.870000000003</v>
      </c>
      <c r="H93" s="31"/>
      <c r="I93" s="43"/>
      <c r="J93" s="19"/>
      <c r="K93" s="89">
        <v>34189.870000000003</v>
      </c>
      <c r="L93" s="31"/>
      <c r="M93" s="95"/>
      <c r="N93" s="19">
        <f t="shared" si="180"/>
        <v>-34189.870000000003</v>
      </c>
      <c r="O93" s="17">
        <f t="shared" si="199"/>
        <v>68379.740000000005</v>
      </c>
      <c r="P93" s="17">
        <f t="shared" si="199"/>
        <v>0</v>
      </c>
      <c r="Q93" s="17">
        <f t="shared" si="199"/>
        <v>0</v>
      </c>
      <c r="R93" s="19">
        <f t="shared" si="155"/>
        <v>-68379.740000000005</v>
      </c>
      <c r="S93" s="83">
        <v>34189.870000000003</v>
      </c>
      <c r="T93" s="31"/>
      <c r="U93" s="95"/>
      <c r="V93" s="19"/>
      <c r="W93" s="83">
        <v>34189.870000000003</v>
      </c>
      <c r="X93" s="18"/>
      <c r="Y93" s="37"/>
      <c r="Z93" s="18"/>
      <c r="AA93" s="83">
        <v>34189.870000000003</v>
      </c>
      <c r="AB93" s="18"/>
      <c r="AC93" s="43"/>
      <c r="AD93" s="30"/>
      <c r="AE93" s="17">
        <f t="shared" si="193"/>
        <v>102569.61000000002</v>
      </c>
      <c r="AF93" s="17">
        <f t="shared" si="193"/>
        <v>0</v>
      </c>
      <c r="AG93" s="17">
        <f t="shared" si="193"/>
        <v>0</v>
      </c>
      <c r="AH93" s="19"/>
      <c r="AI93" s="25">
        <f t="shared" si="200"/>
        <v>170949.35000000003</v>
      </c>
      <c r="AJ93" s="25">
        <f t="shared" si="200"/>
        <v>0</v>
      </c>
      <c r="AK93" s="25">
        <f t="shared" si="200"/>
        <v>0</v>
      </c>
      <c r="AL93" s="30">
        <f t="shared" si="162"/>
        <v>-170949.35000000003</v>
      </c>
      <c r="AM93" s="89">
        <v>34189.870000000003</v>
      </c>
      <c r="AN93" s="31"/>
      <c r="AO93" s="31"/>
      <c r="AP93" s="32">
        <f t="shared" si="207"/>
        <v>-34189.870000000003</v>
      </c>
      <c r="AQ93" s="89">
        <v>34189.870000000003</v>
      </c>
      <c r="AR93" s="31"/>
      <c r="AS93" s="95"/>
      <c r="AT93" s="32">
        <f t="shared" si="208"/>
        <v>-34189.870000000003</v>
      </c>
      <c r="AU93" s="89">
        <v>34189.870000000003</v>
      </c>
      <c r="AV93" s="31"/>
      <c r="AW93" s="95"/>
      <c r="AX93" s="32">
        <f t="shared" si="209"/>
        <v>-34189.870000000003</v>
      </c>
      <c r="AY93" s="25">
        <f t="shared" si="210"/>
        <v>102569.61000000002</v>
      </c>
      <c r="AZ93" s="31"/>
      <c r="BA93" s="31"/>
      <c r="BB93" s="30"/>
      <c r="BC93" s="191">
        <f t="shared" si="212"/>
        <v>273518.96000000008</v>
      </c>
      <c r="BD93" s="96"/>
      <c r="BE93" s="96"/>
      <c r="BF93" s="178"/>
      <c r="BG93" s="89">
        <v>34189.870000000003</v>
      </c>
      <c r="BH93" s="31"/>
      <c r="BI93" s="95"/>
      <c r="BJ93" s="27"/>
      <c r="BK93" s="89">
        <v>34189.870000000003</v>
      </c>
      <c r="BL93" s="95"/>
      <c r="BM93" s="95"/>
      <c r="BN93" s="27"/>
      <c r="BO93" s="89">
        <v>34189.870000000003</v>
      </c>
      <c r="BP93" s="95"/>
      <c r="BQ93" s="95"/>
      <c r="BR93" s="41"/>
      <c r="BS93" s="17">
        <f t="shared" si="217"/>
        <v>102569.61000000002</v>
      </c>
      <c r="BT93" s="18"/>
      <c r="BU93" s="18"/>
      <c r="BV93" s="20"/>
      <c r="BW93" s="17">
        <f t="shared" si="219"/>
        <v>205139.22000000003</v>
      </c>
      <c r="BX93" s="18"/>
      <c r="BY93" s="18"/>
      <c r="BZ93" s="20"/>
      <c r="CA93" s="17">
        <f t="shared" si="221"/>
        <v>376088.57000000007</v>
      </c>
      <c r="CB93" s="18"/>
      <c r="CC93" s="18">
        <f>BY93+AK93</f>
        <v>0</v>
      </c>
      <c r="CD93" s="20"/>
      <c r="CE93" s="94"/>
      <c r="CF93" s="94"/>
      <c r="CG93" s="94"/>
      <c r="CH93" s="3"/>
      <c r="CI93" s="94"/>
      <c r="CJ93" s="91"/>
      <c r="CK93" s="91"/>
      <c r="CL93" s="91"/>
      <c r="CM93" s="91"/>
      <c r="CN93" s="91"/>
      <c r="CO93" s="91"/>
      <c r="CP93" s="91"/>
      <c r="CQ93" s="91"/>
    </row>
    <row r="94" spans="1:95" ht="15.75" customHeight="1" x14ac:dyDescent="0.3">
      <c r="A94" s="211" t="s">
        <v>92</v>
      </c>
      <c r="B94" s="211"/>
      <c r="C94" s="175">
        <f>C95+C96+C97+C99+C107+C129+C130+C98</f>
        <v>1059601.43</v>
      </c>
      <c r="D94" s="36">
        <f t="shared" ref="D94:L94" si="223">D95+D96+D97+D99+D107+D129+D130+D98</f>
        <v>765820.78</v>
      </c>
      <c r="E94" s="36">
        <f t="shared" si="223"/>
        <v>826588.21000000008</v>
      </c>
      <c r="F94" s="180">
        <f t="shared" si="223"/>
        <v>-293780.65000000008</v>
      </c>
      <c r="G94" s="105">
        <f t="shared" si="223"/>
        <v>1063543.23</v>
      </c>
      <c r="H94" s="36">
        <f t="shared" si="223"/>
        <v>887956.46</v>
      </c>
      <c r="I94" s="36">
        <f t="shared" si="223"/>
        <v>973983.90999999992</v>
      </c>
      <c r="J94" s="36">
        <f t="shared" si="223"/>
        <v>-175586.77</v>
      </c>
      <c r="K94" s="36">
        <f t="shared" si="223"/>
        <v>1057043.23</v>
      </c>
      <c r="L94" s="36">
        <f t="shared" si="223"/>
        <v>1257269.6600000001</v>
      </c>
      <c r="M94" s="36">
        <f>M95+M96+M97+M99+M107+M129+M130+M98</f>
        <v>955777.83</v>
      </c>
      <c r="N94" s="137">
        <f t="shared" si="180"/>
        <v>200226.43000000017</v>
      </c>
      <c r="O94" s="36">
        <f t="shared" ref="O94:Y94" si="224">O95+O96+O97+O99+O107+O129+O130+O98</f>
        <v>3180187.8900000006</v>
      </c>
      <c r="P94" s="36">
        <f t="shared" si="224"/>
        <v>2911046.9</v>
      </c>
      <c r="Q94" s="36">
        <f t="shared" si="224"/>
        <v>2756349.9499999993</v>
      </c>
      <c r="R94" s="36">
        <f t="shared" si="224"/>
        <v>-269140.99000000011</v>
      </c>
      <c r="S94" s="36">
        <f>S95+S96+S97+S99+S107+S129+S130+S98</f>
        <v>1043542.64</v>
      </c>
      <c r="T94" s="36">
        <f t="shared" si="224"/>
        <v>749611.1100000001</v>
      </c>
      <c r="U94" s="36">
        <f>U95+U96+U97+U99+U107+U129+U130+U98</f>
        <v>1153383.6299999999</v>
      </c>
      <c r="V94" s="36">
        <f t="shared" si="224"/>
        <v>-293931.52999999997</v>
      </c>
      <c r="W94" s="36">
        <f t="shared" si="224"/>
        <v>1049542.92</v>
      </c>
      <c r="X94" s="36">
        <f t="shared" si="224"/>
        <v>933185.47000000009</v>
      </c>
      <c r="Y94" s="109">
        <f t="shared" si="224"/>
        <v>846321.2699999999</v>
      </c>
      <c r="Z94" s="36">
        <f t="shared" si="205"/>
        <v>-116357.44999999984</v>
      </c>
      <c r="AA94" s="105">
        <f>AA95+AA96+AA97+AA99+AA107+AA129+AA130+AA98</f>
        <v>1050042.8899999999</v>
      </c>
      <c r="AB94" s="36">
        <f>AB95+AB96+AB97+AB99+AB107+AB129+AB130+AB98</f>
        <v>1382055.83</v>
      </c>
      <c r="AC94" s="36">
        <f>AC95+AC96+AC97+AC99+AC107+AC129+AC130+AC98</f>
        <v>841702.83000000007</v>
      </c>
      <c r="AD94" s="107">
        <f t="shared" si="206"/>
        <v>332012.94000000018</v>
      </c>
      <c r="AE94" s="106">
        <f>AE95+AE96+AE97+AE99+AE107+AE129+AE130+AE98</f>
        <v>3143128.4499999997</v>
      </c>
      <c r="AF94" s="36">
        <f>AF95+AF96+AF97+AF99+AF107+AF129+AF130+AF98</f>
        <v>3064852.41</v>
      </c>
      <c r="AG94" s="36">
        <f>AG95+AG96+AG97+AG99+AG107+AG129+AG130+AG98</f>
        <v>2841407.73</v>
      </c>
      <c r="AH94" s="204">
        <f t="shared" si="194"/>
        <v>-78276.039999999572</v>
      </c>
      <c r="AI94" s="106">
        <f>AI95+AI96+AI97+AI99+AI107+AI129+AI130+AI98</f>
        <v>6323316.3399999999</v>
      </c>
      <c r="AJ94" s="36">
        <f>AJ95+AJ96+AJ97+AJ99+AJ107+AJ129+AJ130+AJ98</f>
        <v>5975899.3099999996</v>
      </c>
      <c r="AK94" s="36">
        <f>AK95+AK96+AK97+AK99+AK107+AK129+AK130+AK98</f>
        <v>5597757.6799999988</v>
      </c>
      <c r="AL94" s="107">
        <f t="shared" si="162"/>
        <v>-347417.03000000026</v>
      </c>
      <c r="AM94" s="36">
        <f>AM95+AM96+AM97+AM99+AM107+AM130+AM98</f>
        <v>1050359.23</v>
      </c>
      <c r="AN94" s="36">
        <f>AN95+AN96+AN97+AN99+AN107+AN129+AN130+AN98</f>
        <v>930645</v>
      </c>
      <c r="AO94" s="36">
        <f>AO95+AO96+AO97+AO99+AO107+AO129+AO130+AO98</f>
        <v>1460858.7</v>
      </c>
      <c r="AP94" s="108">
        <f t="shared" si="207"/>
        <v>-119714.22999999998</v>
      </c>
      <c r="AQ94" s="36">
        <f>AQ95+AQ96+AQ97+AQ99+AQ107+AQ129+AQ130+AQ98</f>
        <v>1045859.23</v>
      </c>
      <c r="AR94" s="36">
        <f>AR95+AR96+AR97+AR99+AR107+AR129+AR130+AR98</f>
        <v>884805.6100000001</v>
      </c>
      <c r="AS94" s="36">
        <f>AS95+AS96+AS97+AS99+AS107+AS129+AS130+AS98</f>
        <v>870926.99</v>
      </c>
      <c r="AT94" s="108">
        <f t="shared" si="208"/>
        <v>-161053.61999999988</v>
      </c>
      <c r="AU94" s="36">
        <f>AU95+AU96+AU97+AU99+AU107+AU129+AU130+AU98</f>
        <v>1035859.49</v>
      </c>
      <c r="AV94" s="36">
        <f>AV95+AV96+AV97+AV99+AV107+AV129+AV130+AV98</f>
        <v>1508678.75</v>
      </c>
      <c r="AW94" s="110">
        <f>AW95+AW96+AW97+AW99+AW107+AW129+AW130+AW98</f>
        <v>959802.62000000011</v>
      </c>
      <c r="AX94" s="108">
        <f t="shared" si="209"/>
        <v>472819.26</v>
      </c>
      <c r="AY94" s="106">
        <f>AY95+AY96+AY97+AY99+AY107+AY129+AY130+AY98</f>
        <v>3132077.46</v>
      </c>
      <c r="AZ94" s="36">
        <f>AZ95+AZ96+AZ97+AZ99+AZ98+AZ107+AZ129+AZ130</f>
        <v>3324129.36</v>
      </c>
      <c r="BA94" s="36">
        <f>BA95+BA96+BA97+BA99+BA98+BA107+BA129+BA130</f>
        <v>3291588.31</v>
      </c>
      <c r="BB94" s="109">
        <f t="shared" si="211"/>
        <v>192051.89999999991</v>
      </c>
      <c r="BC94" s="195">
        <f t="shared" si="212"/>
        <v>9455393.8000000007</v>
      </c>
      <c r="BD94" s="138">
        <f t="shared" si="212"/>
        <v>9300028.6699999999</v>
      </c>
      <c r="BE94" s="138">
        <f t="shared" si="212"/>
        <v>8889345.9899999984</v>
      </c>
      <c r="BF94" s="193">
        <f t="shared" si="213"/>
        <v>-155365.13000000082</v>
      </c>
      <c r="BG94" s="185">
        <f>BG95+BG96+BG97+BG99+BG107+BG129+BG130+BG98</f>
        <v>1054859.49</v>
      </c>
      <c r="BH94" s="110">
        <f>BH95+BH96+BH97+BH99+BH107+BH129+BH130+BH98</f>
        <v>1017060.99</v>
      </c>
      <c r="BI94" s="110">
        <f>BI95+BI96+BI97+BI99+BI107+BI129+BI130+BI98</f>
        <v>1397664.02</v>
      </c>
      <c r="BJ94" s="139">
        <f t="shared" si="214"/>
        <v>-37798.5</v>
      </c>
      <c r="BK94" s="110">
        <f>BK95+BK96+BK97+BK99+BK107+BK129+BK130+BK98</f>
        <v>1059859.4099999999</v>
      </c>
      <c r="BL94" s="110">
        <f>BL95+BL96+BL97+BL98+BL99+BL107+BL129+BL130</f>
        <v>864878.34</v>
      </c>
      <c r="BM94" s="110">
        <f>BM95+BM96+BM97+BM98+BM99+BM107</f>
        <v>1154188.06</v>
      </c>
      <c r="BN94" s="139">
        <f t="shared" si="215"/>
        <v>-194981.06999999995</v>
      </c>
      <c r="BO94" s="110">
        <f>BO95+BO96+BO97+BO99+BO107+BO129+BO130+BO98</f>
        <v>1067859.6399999999</v>
      </c>
      <c r="BP94" s="110">
        <f>BP95+BP96+BP97+BP98+BP99+BP107</f>
        <v>1663522.9</v>
      </c>
      <c r="BQ94" s="110">
        <f>BQ95+BQ96+BQ97+BQ98+BQ99+BQ107+BQ129+BQ130</f>
        <v>2035630.37</v>
      </c>
      <c r="BR94" s="139">
        <f t="shared" si="216"/>
        <v>595663.26</v>
      </c>
      <c r="BS94" s="140">
        <f t="shared" si="217"/>
        <v>3182578.54</v>
      </c>
      <c r="BT94" s="36">
        <f>BT95+BT96+BT97+BT99+BT98+BT107+BT129+BT130</f>
        <v>3545462.23</v>
      </c>
      <c r="BU94" s="36">
        <f>BU95+BU96+BU97+BU99+BU98+BU107+BU129+BU130</f>
        <v>4587482.45</v>
      </c>
      <c r="BV94" s="139">
        <f t="shared" si="218"/>
        <v>362883.68999999994</v>
      </c>
      <c r="BW94" s="140">
        <f t="shared" si="219"/>
        <v>6314656</v>
      </c>
      <c r="BX94" s="36">
        <f>BX95+BX96+BX97+BX99+BX98+BX107+BX129+BX130</f>
        <v>6869591.5900000008</v>
      </c>
      <c r="BY94" s="36">
        <f>BY95+BY96+BY97+BY99+BY98+BY107+BY129+BY130</f>
        <v>7879070.7600000007</v>
      </c>
      <c r="BZ94" s="139">
        <f t="shared" si="220"/>
        <v>554935.59000000078</v>
      </c>
      <c r="CA94" s="140">
        <f>CA95+CA96+CA97+CA99+CA107+CA129+CA130+CA98</f>
        <v>12637972.34</v>
      </c>
      <c r="CB94" s="36">
        <f>CB95+CB96+CB97+CB99+CB107+CB129+CB130+CB98</f>
        <v>12851890.899999999</v>
      </c>
      <c r="CC94" s="36">
        <f>CC95+CC96+CC97+CC99+CC98+CC107+CC129+CC130</f>
        <v>13476828.439999999</v>
      </c>
      <c r="CD94" s="139">
        <f t="shared" si="222"/>
        <v>213918.55999999866</v>
      </c>
      <c r="CE94" s="94"/>
      <c r="CF94" s="94"/>
      <c r="CG94" s="93"/>
      <c r="CH94" s="93"/>
      <c r="CI94" s="94"/>
      <c r="CJ94" s="141">
        <f>CJ95+CJ96+CJ97+CJ99+CJ107+CJ129+CJ130</f>
        <v>3180478.54</v>
      </c>
      <c r="CK94" s="141">
        <f>CK95+CK96+CK97+CK99+CK107+CK129+CK130</f>
        <v>3545462.23</v>
      </c>
      <c r="CL94" s="141">
        <f>CL95+CL96+CL97+CL99+CL107+CL129+CL130</f>
        <v>4587482.45</v>
      </c>
      <c r="CM94" s="141">
        <f>CM95+CM96+CM97+CM99+CM107+CM129+CM130</f>
        <v>364983.68999999989</v>
      </c>
      <c r="CN94" s="141">
        <f t="shared" si="149"/>
        <v>12635872.34</v>
      </c>
      <c r="CO94" s="141">
        <f t="shared" si="149"/>
        <v>12845490.9</v>
      </c>
      <c r="CP94" s="141">
        <f t="shared" si="149"/>
        <v>13476828.440000001</v>
      </c>
      <c r="CQ94" s="141">
        <f t="shared" si="149"/>
        <v>209618.56000000011</v>
      </c>
    </row>
    <row r="95" spans="1:95" ht="16.5" x14ac:dyDescent="0.3">
      <c r="A95" s="9">
        <v>1</v>
      </c>
      <c r="B95" s="10" t="s">
        <v>93</v>
      </c>
      <c r="C95" s="174">
        <v>143909.26</v>
      </c>
      <c r="D95" s="43">
        <v>128363.81</v>
      </c>
      <c r="E95" s="43">
        <v>126694.69</v>
      </c>
      <c r="F95" s="177">
        <f t="shared" ref="F95:F130" si="225">D95-C95</f>
        <v>-15545.450000000012</v>
      </c>
      <c r="G95" s="83">
        <v>149062.70000000001</v>
      </c>
      <c r="H95" s="43">
        <v>139932.29</v>
      </c>
      <c r="I95" s="43">
        <v>137151.46</v>
      </c>
      <c r="J95" s="19">
        <f t="shared" ref="J95:J130" si="226">H95-G95</f>
        <v>-9130.4100000000035</v>
      </c>
      <c r="K95" s="17">
        <v>149062.70000000001</v>
      </c>
      <c r="L95" s="18">
        <v>144478.91</v>
      </c>
      <c r="M95" s="43">
        <v>148073.79</v>
      </c>
      <c r="N95" s="19">
        <f t="shared" si="180"/>
        <v>-4583.7900000000081</v>
      </c>
      <c r="O95" s="17">
        <f t="shared" ref="O95:O100" si="227">C95+G95+K95</f>
        <v>442034.66000000003</v>
      </c>
      <c r="P95" s="43">
        <f t="shared" ref="P95:Q100" si="228">L95+H95+D95</f>
        <v>412775.01</v>
      </c>
      <c r="Q95" s="43">
        <f t="shared" si="228"/>
        <v>411919.94</v>
      </c>
      <c r="R95" s="19">
        <f t="shared" ref="R95:R104" si="229">P95-O95</f>
        <v>-29259.650000000023</v>
      </c>
      <c r="S95" s="17">
        <v>149062.70000000001</v>
      </c>
      <c r="T95" s="18">
        <v>146786</v>
      </c>
      <c r="U95" s="43">
        <v>145253.10999999999</v>
      </c>
      <c r="V95" s="19">
        <f t="shared" ref="V95:V104" si="230">T95-S95</f>
        <v>-2276.7000000000116</v>
      </c>
      <c r="W95" s="17">
        <v>149062.70000000001</v>
      </c>
      <c r="X95" s="18">
        <v>141312.35999999999</v>
      </c>
      <c r="Y95" s="37">
        <v>136568.13</v>
      </c>
      <c r="Z95" s="18">
        <f t="shared" si="205"/>
        <v>-7750.3400000000256</v>
      </c>
      <c r="AA95" s="83">
        <v>149062.70000000001</v>
      </c>
      <c r="AB95" s="43">
        <v>147966.56</v>
      </c>
      <c r="AC95" s="43">
        <v>148233.46</v>
      </c>
      <c r="AD95" s="19">
        <f t="shared" si="206"/>
        <v>-1096.140000000014</v>
      </c>
      <c r="AE95" s="17">
        <f t="shared" ref="AE95:AG98" si="231">S95+W95+AA95</f>
        <v>447188.10000000003</v>
      </c>
      <c r="AF95" s="18">
        <f t="shared" si="231"/>
        <v>436064.92</v>
      </c>
      <c r="AG95" s="18">
        <f t="shared" si="231"/>
        <v>430054.69999999995</v>
      </c>
      <c r="AH95" s="19">
        <f t="shared" si="194"/>
        <v>-11123.180000000051</v>
      </c>
      <c r="AI95" s="17">
        <f t="shared" ref="AI95:AK98" si="232">AE95+O95</f>
        <v>889222.76</v>
      </c>
      <c r="AJ95" s="18">
        <f t="shared" si="232"/>
        <v>848839.92999999993</v>
      </c>
      <c r="AK95" s="18">
        <f t="shared" si="232"/>
        <v>841974.6399999999</v>
      </c>
      <c r="AL95" s="19">
        <f t="shared" si="162"/>
        <v>-40382.830000000075</v>
      </c>
      <c r="AM95" s="17">
        <v>149715.70000000001</v>
      </c>
      <c r="AN95" s="43">
        <v>152083.76999999999</v>
      </c>
      <c r="AO95" s="43">
        <v>153702.75</v>
      </c>
      <c r="AP95" s="20">
        <f t="shared" si="207"/>
        <v>2368.0699999999779</v>
      </c>
      <c r="AQ95" s="17">
        <v>149715.70000000001</v>
      </c>
      <c r="AR95" s="43">
        <v>148303.1</v>
      </c>
      <c r="AS95" s="43">
        <v>147186.31</v>
      </c>
      <c r="AT95" s="20">
        <f t="shared" si="208"/>
        <v>-1412.6000000000058</v>
      </c>
      <c r="AU95" s="17">
        <v>149715.70000000001</v>
      </c>
      <c r="AV95" s="43">
        <v>150037.88</v>
      </c>
      <c r="AW95" s="43">
        <v>151032.79999999999</v>
      </c>
      <c r="AX95" s="20">
        <f t="shared" si="209"/>
        <v>322.17999999999302</v>
      </c>
      <c r="AY95" s="17">
        <f t="shared" ref="AY95:BA98" si="233">AM95+AQ95+AU95</f>
        <v>449147.10000000003</v>
      </c>
      <c r="AZ95" s="18">
        <f t="shared" si="233"/>
        <v>450424.75</v>
      </c>
      <c r="BA95" s="18">
        <f t="shared" si="233"/>
        <v>451921.86</v>
      </c>
      <c r="BB95" s="19">
        <f t="shared" si="211"/>
        <v>1277.6499999999651</v>
      </c>
      <c r="BC95" s="190">
        <f t="shared" si="212"/>
        <v>1338369.8600000001</v>
      </c>
      <c r="BD95" s="84">
        <f t="shared" si="212"/>
        <v>1299264.68</v>
      </c>
      <c r="BE95" s="84">
        <f t="shared" si="212"/>
        <v>1293896.5</v>
      </c>
      <c r="BF95" s="170">
        <f t="shared" si="213"/>
        <v>-39105.180000000168</v>
      </c>
      <c r="BG95" s="17">
        <v>149715.70000000001</v>
      </c>
      <c r="BH95" s="43">
        <v>146907.71</v>
      </c>
      <c r="BI95" s="43">
        <v>148084.89000000001</v>
      </c>
      <c r="BJ95" s="41">
        <f t="shared" si="214"/>
        <v>-2807.9900000000198</v>
      </c>
      <c r="BK95" s="17">
        <v>149715.70000000001</v>
      </c>
      <c r="BL95" s="43">
        <v>142963.14000000001</v>
      </c>
      <c r="BM95" s="43">
        <v>140572.85</v>
      </c>
      <c r="BN95" s="41">
        <f t="shared" si="215"/>
        <v>-6752.5599999999977</v>
      </c>
      <c r="BO95" s="17">
        <v>149715.70000000001</v>
      </c>
      <c r="BP95" s="43">
        <v>155572.32</v>
      </c>
      <c r="BQ95" s="43">
        <v>160522.63</v>
      </c>
      <c r="BR95" s="41">
        <f t="shared" si="216"/>
        <v>5856.6199999999953</v>
      </c>
      <c r="BS95" s="17">
        <f t="shared" si="217"/>
        <v>449147.10000000003</v>
      </c>
      <c r="BT95" s="18">
        <f t="shared" si="217"/>
        <v>445443.17</v>
      </c>
      <c r="BU95" s="18">
        <f t="shared" si="217"/>
        <v>449180.37</v>
      </c>
      <c r="BV95" s="20">
        <f t="shared" si="218"/>
        <v>-3703.9300000000512</v>
      </c>
      <c r="BW95" s="17">
        <f t="shared" si="219"/>
        <v>898294.20000000007</v>
      </c>
      <c r="BX95" s="18">
        <f t="shared" si="219"/>
        <v>895867.91999999993</v>
      </c>
      <c r="BY95" s="18">
        <f t="shared" si="219"/>
        <v>901102.23</v>
      </c>
      <c r="BZ95" s="20">
        <f t="shared" si="220"/>
        <v>-2426.2800000001444</v>
      </c>
      <c r="CA95" s="17">
        <f t="shared" ref="CA95:CC98" si="234">BW95+AI95</f>
        <v>1787516.96</v>
      </c>
      <c r="CB95" s="18">
        <f t="shared" si="234"/>
        <v>1744707.8499999999</v>
      </c>
      <c r="CC95" s="18">
        <f t="shared" si="234"/>
        <v>1743076.8699999999</v>
      </c>
      <c r="CD95" s="20">
        <f t="shared" si="222"/>
        <v>-42809.110000000102</v>
      </c>
      <c r="CE95" s="94"/>
      <c r="CF95" s="94"/>
      <c r="CG95" s="93"/>
      <c r="CH95" s="93"/>
      <c r="CI95" s="94"/>
      <c r="CJ95" s="91">
        <f t="shared" ref="CJ95:CM100" si="235">BG95+BK95+BO95</f>
        <v>449147.10000000003</v>
      </c>
      <c r="CK95" s="91">
        <f t="shared" si="235"/>
        <v>445443.17</v>
      </c>
      <c r="CL95" s="91">
        <f t="shared" si="235"/>
        <v>449180.37</v>
      </c>
      <c r="CM95" s="91">
        <f t="shared" si="235"/>
        <v>-3703.9300000000221</v>
      </c>
      <c r="CN95" s="91">
        <f t="shared" si="149"/>
        <v>1787516.9600000002</v>
      </c>
      <c r="CO95" s="91">
        <f t="shared" si="149"/>
        <v>1744707.8499999999</v>
      </c>
      <c r="CP95" s="91">
        <f t="shared" si="149"/>
        <v>1743076.87</v>
      </c>
      <c r="CQ95" s="91">
        <f t="shared" si="149"/>
        <v>-42809.110000000132</v>
      </c>
    </row>
    <row r="96" spans="1:95" ht="16.5" x14ac:dyDescent="0.3">
      <c r="A96" s="9">
        <v>2</v>
      </c>
      <c r="B96" s="33" t="s">
        <v>94</v>
      </c>
      <c r="C96" s="174">
        <v>571145</v>
      </c>
      <c r="D96" s="18">
        <v>394419.16</v>
      </c>
      <c r="E96" s="43">
        <f>374323.44-5457-3721.35</f>
        <v>365145.09</v>
      </c>
      <c r="F96" s="170">
        <f t="shared" si="225"/>
        <v>-176725.84000000003</v>
      </c>
      <c r="G96" s="83">
        <v>571145</v>
      </c>
      <c r="H96" s="43">
        <f>475139.21-5461</f>
        <v>469678.21</v>
      </c>
      <c r="I96" s="43">
        <f>427461.49-5461</f>
        <v>422000.49</v>
      </c>
      <c r="J96" s="19">
        <f t="shared" si="226"/>
        <v>-101466.78999999998</v>
      </c>
      <c r="K96" s="17">
        <v>571145</v>
      </c>
      <c r="L96" s="43">
        <f>576871.55-5464</f>
        <v>571407.55000000005</v>
      </c>
      <c r="M96" s="43">
        <f>564098.38-2433.54-5464</f>
        <v>556200.84</v>
      </c>
      <c r="N96" s="19">
        <f t="shared" si="180"/>
        <v>262.55000000004657</v>
      </c>
      <c r="O96" s="17">
        <f t="shared" si="227"/>
        <v>1713435</v>
      </c>
      <c r="P96" s="43">
        <f t="shared" si="228"/>
        <v>1435504.92</v>
      </c>
      <c r="Q96" s="43">
        <f t="shared" si="228"/>
        <v>1343346.42</v>
      </c>
      <c r="R96" s="19">
        <f t="shared" si="229"/>
        <v>-277930.08000000007</v>
      </c>
      <c r="S96" s="17">
        <v>571145</v>
      </c>
      <c r="T96" s="18">
        <f>419206.59-5464</f>
        <v>413742.59</v>
      </c>
      <c r="U96" s="43">
        <v>480352.82</v>
      </c>
      <c r="V96" s="19">
        <f t="shared" si="230"/>
        <v>-157402.40999999997</v>
      </c>
      <c r="W96" s="17">
        <v>571145</v>
      </c>
      <c r="X96" s="18">
        <f>515332.78-5463</f>
        <v>509869.78</v>
      </c>
      <c r="Y96" s="37">
        <f>443491.85-13767.84-10925</f>
        <v>418799.00999999995</v>
      </c>
      <c r="Z96" s="18">
        <f t="shared" si="205"/>
        <v>-61275.219999999972</v>
      </c>
      <c r="AA96" s="83">
        <v>571145</v>
      </c>
      <c r="AB96" s="43">
        <f>533025.53-5466</f>
        <v>527559.53</v>
      </c>
      <c r="AC96" s="43">
        <f>508218.42-5466</f>
        <v>502752.42</v>
      </c>
      <c r="AD96" s="19">
        <f t="shared" si="206"/>
        <v>-43585.469999999972</v>
      </c>
      <c r="AE96" s="17">
        <f t="shared" si="231"/>
        <v>1713435</v>
      </c>
      <c r="AF96" s="18">
        <f t="shared" si="231"/>
        <v>1451171.9000000001</v>
      </c>
      <c r="AG96" s="18">
        <f t="shared" si="231"/>
        <v>1401904.25</v>
      </c>
      <c r="AH96" s="19">
        <f t="shared" si="194"/>
        <v>-262263.09999999986</v>
      </c>
      <c r="AI96" s="17">
        <f t="shared" si="232"/>
        <v>3426870</v>
      </c>
      <c r="AJ96" s="18">
        <f t="shared" si="232"/>
        <v>2886676.8200000003</v>
      </c>
      <c r="AK96" s="18">
        <f t="shared" si="232"/>
        <v>2745250.67</v>
      </c>
      <c r="AL96" s="19">
        <f t="shared" si="162"/>
        <v>-540193.1799999997</v>
      </c>
      <c r="AM96" s="17">
        <v>571145</v>
      </c>
      <c r="AN96" s="18">
        <f>574875.48-5460</f>
        <v>569415.48</v>
      </c>
      <c r="AO96" s="43">
        <f>601402.85-5460</f>
        <v>595942.85</v>
      </c>
      <c r="AP96" s="20">
        <f t="shared" si="207"/>
        <v>-1729.5200000000186</v>
      </c>
      <c r="AQ96" s="17">
        <v>571145</v>
      </c>
      <c r="AR96" s="43">
        <f>527195-5454</f>
        <v>521741</v>
      </c>
      <c r="AS96" s="43">
        <f>513977.01-5067.21-5454</f>
        <v>503455.8</v>
      </c>
      <c r="AT96" s="20">
        <f t="shared" si="208"/>
        <v>-49404</v>
      </c>
      <c r="AU96" s="17">
        <v>571145</v>
      </c>
      <c r="AV96" s="18">
        <f>597850.1-5455</f>
        <v>592395.1</v>
      </c>
      <c r="AW96" s="43">
        <f>617264.52-5067.21-5455</f>
        <v>606742.31000000006</v>
      </c>
      <c r="AX96" s="20">
        <f t="shared" si="209"/>
        <v>21250.099999999977</v>
      </c>
      <c r="AY96" s="17">
        <f t="shared" si="233"/>
        <v>1713435</v>
      </c>
      <c r="AZ96" s="18">
        <f t="shared" si="233"/>
        <v>1683551.58</v>
      </c>
      <c r="BA96" s="18">
        <f t="shared" si="233"/>
        <v>1706140.96</v>
      </c>
      <c r="BB96" s="19">
        <f t="shared" si="211"/>
        <v>-29883.419999999925</v>
      </c>
      <c r="BC96" s="194">
        <f t="shared" si="212"/>
        <v>5140305</v>
      </c>
      <c r="BD96" s="124">
        <f t="shared" si="212"/>
        <v>4570228.4000000004</v>
      </c>
      <c r="BE96" s="124">
        <f t="shared" si="212"/>
        <v>4451391.63</v>
      </c>
      <c r="BF96" s="170">
        <f t="shared" si="213"/>
        <v>-570076.59999999963</v>
      </c>
      <c r="BG96" s="17">
        <v>571145</v>
      </c>
      <c r="BH96" s="18">
        <f>679275.44-9513.21-5455</f>
        <v>664307.23</v>
      </c>
      <c r="BI96" s="43">
        <f>574649.23-8068.29-5455</f>
        <v>561125.93999999994</v>
      </c>
      <c r="BJ96" s="41">
        <f t="shared" si="214"/>
        <v>93162.229999999981</v>
      </c>
      <c r="BK96" s="17">
        <v>571145</v>
      </c>
      <c r="BL96" s="43">
        <f>483827.95-6756.69-5447</f>
        <v>471624.26</v>
      </c>
      <c r="BM96" s="43">
        <f>698023.75-9513.21-5447</f>
        <v>683063.54</v>
      </c>
      <c r="BN96" s="41">
        <f t="shared" si="215"/>
        <v>-99520.739999999991</v>
      </c>
      <c r="BO96" s="17">
        <v>571145</v>
      </c>
      <c r="BP96" s="43">
        <f>1108695.51-5450-3001.08</f>
        <v>1100244.43</v>
      </c>
      <c r="BQ96" s="43">
        <f>1362313.07-5450-9757.77</f>
        <v>1347105.3</v>
      </c>
      <c r="BR96" s="41">
        <f t="shared" si="216"/>
        <v>529099.42999999993</v>
      </c>
      <c r="BS96" s="17">
        <f t="shared" si="217"/>
        <v>1713435</v>
      </c>
      <c r="BT96" s="18">
        <f t="shared" si="217"/>
        <v>2236175.92</v>
      </c>
      <c r="BU96" s="18">
        <f t="shared" si="217"/>
        <v>2591294.7800000003</v>
      </c>
      <c r="BV96" s="20">
        <f t="shared" si="218"/>
        <v>522740.91999999993</v>
      </c>
      <c r="BW96" s="17">
        <f t="shared" si="219"/>
        <v>3426870</v>
      </c>
      <c r="BX96" s="18">
        <f t="shared" si="219"/>
        <v>3919727.5</v>
      </c>
      <c r="BY96" s="18">
        <f t="shared" si="219"/>
        <v>4297435.74</v>
      </c>
      <c r="BZ96" s="20">
        <f t="shared" si="220"/>
        <v>492857.5</v>
      </c>
      <c r="CA96" s="17">
        <f t="shared" si="234"/>
        <v>6853740</v>
      </c>
      <c r="CB96" s="18">
        <f t="shared" si="234"/>
        <v>6806404.3200000003</v>
      </c>
      <c r="CC96" s="18">
        <f t="shared" si="234"/>
        <v>7042686.4100000001</v>
      </c>
      <c r="CD96" s="20">
        <f t="shared" si="222"/>
        <v>-47335.679999999702</v>
      </c>
      <c r="CE96" s="93"/>
      <c r="CF96" s="94"/>
      <c r="CG96" s="93"/>
      <c r="CH96" s="93"/>
      <c r="CI96" s="94"/>
      <c r="CJ96" s="91">
        <f t="shared" si="235"/>
        <v>1713435</v>
      </c>
      <c r="CK96" s="91">
        <f t="shared" si="235"/>
        <v>2236175.92</v>
      </c>
      <c r="CL96" s="91">
        <f t="shared" si="235"/>
        <v>2591294.7800000003</v>
      </c>
      <c r="CM96" s="91">
        <f t="shared" si="235"/>
        <v>522740.91999999993</v>
      </c>
      <c r="CN96" s="91">
        <f t="shared" si="149"/>
        <v>6853740</v>
      </c>
      <c r="CO96" s="91">
        <f t="shared" si="149"/>
        <v>6806404.3200000003</v>
      </c>
      <c r="CP96" s="91">
        <f t="shared" si="149"/>
        <v>7042686.4100000001</v>
      </c>
      <c r="CQ96" s="91">
        <f t="shared" si="149"/>
        <v>-47335.679999999935</v>
      </c>
    </row>
    <row r="97" spans="1:95" ht="16.5" x14ac:dyDescent="0.3">
      <c r="A97" s="9">
        <v>3</v>
      </c>
      <c r="B97" s="33" t="s">
        <v>158</v>
      </c>
      <c r="C97" s="174">
        <v>172485.7</v>
      </c>
      <c r="D97" s="18">
        <v>119114.61</v>
      </c>
      <c r="E97" s="43">
        <v>205159.74</v>
      </c>
      <c r="F97" s="170">
        <f t="shared" si="225"/>
        <v>-53371.090000000011</v>
      </c>
      <c r="G97" s="83">
        <v>172485.7</v>
      </c>
      <c r="H97" s="43">
        <v>142528.22</v>
      </c>
      <c r="I97" s="43">
        <v>119114.61</v>
      </c>
      <c r="J97" s="19">
        <f t="shared" si="226"/>
        <v>-29957.48000000001</v>
      </c>
      <c r="K97" s="17">
        <v>172485.7</v>
      </c>
      <c r="L97" s="43">
        <v>173852.79999999999</v>
      </c>
      <c r="M97" s="43">
        <v>142528.22</v>
      </c>
      <c r="N97" s="19">
        <f t="shared" si="180"/>
        <v>1367.0999999999767</v>
      </c>
      <c r="O97" s="17">
        <f t="shared" si="227"/>
        <v>517457.10000000003</v>
      </c>
      <c r="P97" s="43">
        <f t="shared" si="228"/>
        <v>435495.63</v>
      </c>
      <c r="Q97" s="43">
        <f t="shared" si="228"/>
        <v>466802.57</v>
      </c>
      <c r="R97" s="19">
        <f t="shared" si="229"/>
        <v>-81961.47000000003</v>
      </c>
      <c r="S97" s="17">
        <v>172485.1</v>
      </c>
      <c r="T97" s="18">
        <v>83570.75</v>
      </c>
      <c r="U97" s="43">
        <v>173852.79999999999</v>
      </c>
      <c r="V97" s="19">
        <f t="shared" si="230"/>
        <v>-88914.35</v>
      </c>
      <c r="W97" s="17">
        <v>172485.4</v>
      </c>
      <c r="X97" s="18">
        <v>101113.03</v>
      </c>
      <c r="Y97" s="37">
        <v>83570.75</v>
      </c>
      <c r="Z97" s="18">
        <f t="shared" si="205"/>
        <v>-71372.37</v>
      </c>
      <c r="AA97" s="83">
        <v>172485.36</v>
      </c>
      <c r="AB97" s="18">
        <v>103547.03</v>
      </c>
      <c r="AC97" s="43">
        <v>101113.03</v>
      </c>
      <c r="AD97" s="19">
        <f t="shared" si="206"/>
        <v>-68938.329999999987</v>
      </c>
      <c r="AE97" s="17">
        <f t="shared" si="231"/>
        <v>517455.86</v>
      </c>
      <c r="AF97" s="18">
        <f t="shared" si="231"/>
        <v>288230.81</v>
      </c>
      <c r="AG97" s="18">
        <f t="shared" si="231"/>
        <v>358536.57999999996</v>
      </c>
      <c r="AH97" s="19">
        <f t="shared" si="194"/>
        <v>-229225.05</v>
      </c>
      <c r="AI97" s="17">
        <f t="shared" si="232"/>
        <v>1034912.96</v>
      </c>
      <c r="AJ97" s="18">
        <f t="shared" si="232"/>
        <v>723726.44</v>
      </c>
      <c r="AK97" s="18">
        <f t="shared" si="232"/>
        <v>825339.14999999991</v>
      </c>
      <c r="AL97" s="19">
        <f t="shared" si="162"/>
        <v>-311186.52</v>
      </c>
      <c r="AM97" s="17">
        <v>172485.45</v>
      </c>
      <c r="AN97" s="18">
        <v>107094.67</v>
      </c>
      <c r="AO97" s="43">
        <v>103547.03</v>
      </c>
      <c r="AP97" s="20">
        <f t="shared" si="207"/>
        <v>-65390.780000000013</v>
      </c>
      <c r="AQ97" s="17">
        <v>172485.45</v>
      </c>
      <c r="AR97" s="43">
        <v>102337.19</v>
      </c>
      <c r="AS97" s="43">
        <v>107094.67</v>
      </c>
      <c r="AT97" s="20">
        <f t="shared" si="208"/>
        <v>-70148.260000000009</v>
      </c>
      <c r="AU97" s="17">
        <v>172485.45</v>
      </c>
      <c r="AV97" s="18">
        <v>114620.81</v>
      </c>
      <c r="AW97" s="43">
        <v>102337.19</v>
      </c>
      <c r="AX97" s="20">
        <f t="shared" si="209"/>
        <v>-57864.640000000014</v>
      </c>
      <c r="AY97" s="17">
        <f t="shared" si="233"/>
        <v>517456.35000000003</v>
      </c>
      <c r="AZ97" s="18">
        <f t="shared" si="233"/>
        <v>324052.67</v>
      </c>
      <c r="BA97" s="18">
        <f t="shared" si="233"/>
        <v>312978.89</v>
      </c>
      <c r="BB97" s="19">
        <f t="shared" si="211"/>
        <v>-193403.68000000005</v>
      </c>
      <c r="BC97" s="194">
        <f t="shared" si="212"/>
        <v>1552369.31</v>
      </c>
      <c r="BD97" s="124">
        <f t="shared" si="212"/>
        <v>1047779.1099999999</v>
      </c>
      <c r="BE97" s="124">
        <f t="shared" si="212"/>
        <v>1138318.04</v>
      </c>
      <c r="BF97" s="170">
        <f t="shared" si="213"/>
        <v>-504590.20000000019</v>
      </c>
      <c r="BG97" s="17">
        <v>172485.45</v>
      </c>
      <c r="BH97" s="18">
        <v>125621.61</v>
      </c>
      <c r="BI97" s="43">
        <v>114620.81</v>
      </c>
      <c r="BJ97" s="41">
        <f t="shared" si="214"/>
        <v>-46863.840000000011</v>
      </c>
      <c r="BK97" s="17">
        <v>172485.45</v>
      </c>
      <c r="BL97" s="43">
        <v>95357.07</v>
      </c>
      <c r="BM97" s="43">
        <v>125621.61</v>
      </c>
      <c r="BN97" s="41">
        <f t="shared" si="215"/>
        <v>-77128.38</v>
      </c>
      <c r="BO97" s="17">
        <v>172485.45</v>
      </c>
      <c r="BP97" s="43">
        <v>175789.21</v>
      </c>
      <c r="BQ97" s="43">
        <f>BP97+BL97</f>
        <v>271146.28000000003</v>
      </c>
      <c r="BR97" s="41">
        <f t="shared" si="216"/>
        <v>3303.7599999999802</v>
      </c>
      <c r="BS97" s="17">
        <f t="shared" si="217"/>
        <v>517456.35000000003</v>
      </c>
      <c r="BT97" s="18">
        <f t="shared" si="217"/>
        <v>396767.89</v>
      </c>
      <c r="BU97" s="18">
        <f t="shared" si="217"/>
        <v>511388.7</v>
      </c>
      <c r="BV97" s="20">
        <f t="shared" si="218"/>
        <v>-120688.46000000002</v>
      </c>
      <c r="BW97" s="17">
        <f t="shared" si="219"/>
        <v>1034912.7000000001</v>
      </c>
      <c r="BX97" s="18">
        <f t="shared" si="219"/>
        <v>720820.56</v>
      </c>
      <c r="BY97" s="18">
        <f t="shared" si="219"/>
        <v>824367.59000000008</v>
      </c>
      <c r="BZ97" s="20">
        <f t="shared" si="220"/>
        <v>-314092.14</v>
      </c>
      <c r="CA97" s="17">
        <f t="shared" si="234"/>
        <v>2069825.6600000001</v>
      </c>
      <c r="CB97" s="18">
        <f t="shared" si="234"/>
        <v>1444547</v>
      </c>
      <c r="CC97" s="18">
        <f t="shared" si="234"/>
        <v>1649706.74</v>
      </c>
      <c r="CD97" s="20">
        <f t="shared" si="222"/>
        <v>-625278.66000000015</v>
      </c>
      <c r="CE97" s="94"/>
      <c r="CF97" s="94"/>
      <c r="CG97" s="93"/>
      <c r="CH97" s="93"/>
      <c r="CI97" s="94"/>
      <c r="CJ97" s="91">
        <f t="shared" si="235"/>
        <v>517456.35000000003</v>
      </c>
      <c r="CK97" s="91">
        <f t="shared" si="235"/>
        <v>396767.89</v>
      </c>
      <c r="CL97" s="91">
        <f t="shared" si="235"/>
        <v>511388.7</v>
      </c>
      <c r="CM97" s="91">
        <f t="shared" si="235"/>
        <v>-120688.46000000004</v>
      </c>
      <c r="CN97" s="91">
        <f t="shared" si="149"/>
        <v>2069825.6600000001</v>
      </c>
      <c r="CO97" s="91">
        <f t="shared" si="149"/>
        <v>1444547</v>
      </c>
      <c r="CP97" s="91">
        <f t="shared" si="149"/>
        <v>1649706.74</v>
      </c>
      <c r="CQ97" s="91">
        <f t="shared" si="149"/>
        <v>-625278.66000000015</v>
      </c>
    </row>
    <row r="98" spans="1:95" ht="16.5" x14ac:dyDescent="0.3">
      <c r="A98" s="9"/>
      <c r="B98" s="48" t="s">
        <v>95</v>
      </c>
      <c r="C98" s="174">
        <v>700</v>
      </c>
      <c r="D98" s="18"/>
      <c r="E98" s="43"/>
      <c r="F98" s="170">
        <f t="shared" si="225"/>
        <v>-700</v>
      </c>
      <c r="G98" s="83">
        <v>700</v>
      </c>
      <c r="H98" s="18"/>
      <c r="I98" s="43"/>
      <c r="J98" s="19">
        <f t="shared" si="226"/>
        <v>-700</v>
      </c>
      <c r="K98" s="17">
        <v>700</v>
      </c>
      <c r="L98" s="18"/>
      <c r="M98" s="43"/>
      <c r="N98" s="19">
        <f t="shared" si="180"/>
        <v>-700</v>
      </c>
      <c r="O98" s="17">
        <f t="shared" si="227"/>
        <v>2100</v>
      </c>
      <c r="P98" s="43">
        <f t="shared" si="228"/>
        <v>0</v>
      </c>
      <c r="Q98" s="43">
        <f t="shared" si="228"/>
        <v>0</v>
      </c>
      <c r="R98" s="19">
        <f t="shared" si="229"/>
        <v>-2100</v>
      </c>
      <c r="S98" s="17">
        <v>700</v>
      </c>
      <c r="T98" s="18"/>
      <c r="U98" s="43"/>
      <c r="V98" s="19">
        <f t="shared" si="230"/>
        <v>-700</v>
      </c>
      <c r="W98" s="17">
        <v>700</v>
      </c>
      <c r="X98" s="18"/>
      <c r="Y98" s="37"/>
      <c r="Z98" s="18">
        <f t="shared" si="205"/>
        <v>-700</v>
      </c>
      <c r="AA98" s="83">
        <v>700</v>
      </c>
      <c r="AB98" s="18"/>
      <c r="AC98" s="43"/>
      <c r="AD98" s="19">
        <f t="shared" si="206"/>
        <v>-700</v>
      </c>
      <c r="AE98" s="17">
        <f t="shared" si="231"/>
        <v>2100</v>
      </c>
      <c r="AF98" s="18">
        <f t="shared" si="231"/>
        <v>0</v>
      </c>
      <c r="AG98" s="18">
        <f t="shared" si="231"/>
        <v>0</v>
      </c>
      <c r="AH98" s="19">
        <f t="shared" si="194"/>
        <v>-2100</v>
      </c>
      <c r="AI98" s="17">
        <f t="shared" si="232"/>
        <v>4200</v>
      </c>
      <c r="AJ98" s="18">
        <f t="shared" si="232"/>
        <v>0</v>
      </c>
      <c r="AK98" s="18">
        <f t="shared" si="232"/>
        <v>0</v>
      </c>
      <c r="AL98" s="19">
        <f t="shared" si="162"/>
        <v>-4200</v>
      </c>
      <c r="AM98" s="17">
        <v>700</v>
      </c>
      <c r="AN98" s="18"/>
      <c r="AO98" s="43"/>
      <c r="AP98" s="20">
        <f t="shared" si="207"/>
        <v>-700</v>
      </c>
      <c r="AQ98" s="17">
        <v>700</v>
      </c>
      <c r="AR98" s="43"/>
      <c r="AS98" s="43"/>
      <c r="AT98" s="20">
        <f t="shared" si="208"/>
        <v>-700</v>
      </c>
      <c r="AU98" s="17">
        <v>700</v>
      </c>
      <c r="AV98" s="18"/>
      <c r="AW98" s="43"/>
      <c r="AX98" s="20">
        <f t="shared" si="209"/>
        <v>-700</v>
      </c>
      <c r="AY98" s="17">
        <f t="shared" si="233"/>
        <v>2100</v>
      </c>
      <c r="AZ98" s="18">
        <f t="shared" si="233"/>
        <v>0</v>
      </c>
      <c r="BA98" s="18">
        <f t="shared" si="233"/>
        <v>0</v>
      </c>
      <c r="BB98" s="19">
        <f t="shared" si="211"/>
        <v>-2100</v>
      </c>
      <c r="BC98" s="190">
        <f t="shared" si="212"/>
        <v>6300</v>
      </c>
      <c r="BD98" s="84">
        <f t="shared" si="212"/>
        <v>0</v>
      </c>
      <c r="BE98" s="84">
        <f t="shared" si="212"/>
        <v>0</v>
      </c>
      <c r="BF98" s="170">
        <f t="shared" si="213"/>
        <v>-6300</v>
      </c>
      <c r="BG98" s="17">
        <v>700</v>
      </c>
      <c r="BH98" s="18"/>
      <c r="BI98" s="43"/>
      <c r="BJ98" s="41">
        <f t="shared" si="214"/>
        <v>-700</v>
      </c>
      <c r="BK98" s="17">
        <v>700</v>
      </c>
      <c r="BL98" s="43"/>
      <c r="BM98" s="43"/>
      <c r="BN98" s="41">
        <f t="shared" si="215"/>
        <v>-700</v>
      </c>
      <c r="BO98" s="17">
        <v>700</v>
      </c>
      <c r="BP98" s="43"/>
      <c r="BQ98" s="43"/>
      <c r="BR98" s="41">
        <f t="shared" si="216"/>
        <v>-700</v>
      </c>
      <c r="BS98" s="17">
        <f t="shared" si="217"/>
        <v>2100</v>
      </c>
      <c r="BT98" s="18">
        <f t="shared" si="217"/>
        <v>0</v>
      </c>
      <c r="BU98" s="18">
        <f t="shared" si="217"/>
        <v>0</v>
      </c>
      <c r="BV98" s="20">
        <f t="shared" si="218"/>
        <v>-2100</v>
      </c>
      <c r="BW98" s="17">
        <f t="shared" si="219"/>
        <v>4200</v>
      </c>
      <c r="BX98" s="18">
        <f t="shared" si="219"/>
        <v>0</v>
      </c>
      <c r="BY98" s="18">
        <f t="shared" si="219"/>
        <v>0</v>
      </c>
      <c r="BZ98" s="20">
        <f t="shared" si="220"/>
        <v>-4200</v>
      </c>
      <c r="CA98" s="17">
        <f t="shared" si="234"/>
        <v>8400</v>
      </c>
      <c r="CB98" s="18">
        <f t="shared" si="234"/>
        <v>0</v>
      </c>
      <c r="CC98" s="18">
        <f t="shared" si="234"/>
        <v>0</v>
      </c>
      <c r="CD98" s="20">
        <f t="shared" si="222"/>
        <v>-8400</v>
      </c>
      <c r="CE98" s="94"/>
      <c r="CF98" s="94"/>
      <c r="CG98" s="93"/>
      <c r="CH98" s="93"/>
      <c r="CI98" s="94"/>
      <c r="CJ98" s="91">
        <f t="shared" si="235"/>
        <v>2100</v>
      </c>
      <c r="CK98" s="91">
        <f t="shared" si="235"/>
        <v>0</v>
      </c>
      <c r="CL98" s="91">
        <f t="shared" si="235"/>
        <v>0</v>
      </c>
      <c r="CM98" s="91">
        <f t="shared" si="235"/>
        <v>-2100</v>
      </c>
      <c r="CN98" s="91">
        <f t="shared" ref="CN98:CQ131" si="236">O98+AE98+AY98+CJ98</f>
        <v>8400</v>
      </c>
      <c r="CO98" s="91">
        <f t="shared" si="236"/>
        <v>0</v>
      </c>
      <c r="CP98" s="91">
        <f t="shared" si="236"/>
        <v>0</v>
      </c>
      <c r="CQ98" s="91">
        <f t="shared" si="236"/>
        <v>-8400</v>
      </c>
    </row>
    <row r="99" spans="1:95" ht="16.5" x14ac:dyDescent="0.3">
      <c r="A99" s="9">
        <v>4</v>
      </c>
      <c r="B99" s="33" t="s">
        <v>96</v>
      </c>
      <c r="C99" s="168">
        <f>C100+C101+C106</f>
        <v>70122.42</v>
      </c>
      <c r="D99" s="25">
        <f>D100+D101+D106</f>
        <v>52279.42</v>
      </c>
      <c r="E99" s="90">
        <f>E100+E101+E106</f>
        <v>51291.81</v>
      </c>
      <c r="F99" s="170">
        <f t="shared" si="225"/>
        <v>-17843</v>
      </c>
      <c r="G99" s="89">
        <f>G100+G101+G106</f>
        <v>67622.42</v>
      </c>
      <c r="H99" s="25">
        <f>H100+H101+H106</f>
        <v>51399.24</v>
      </c>
      <c r="I99" s="90">
        <f>I100+I101+I106</f>
        <v>52279.42</v>
      </c>
      <c r="J99" s="19">
        <f t="shared" si="226"/>
        <v>-16223.18</v>
      </c>
      <c r="K99" s="25">
        <f>K100+K101+K106</f>
        <v>61122.42</v>
      </c>
      <c r="L99" s="25">
        <f>L100+L101+L106</f>
        <v>49844.14</v>
      </c>
      <c r="M99" s="90">
        <f>M100+M101+M106</f>
        <v>51574.78</v>
      </c>
      <c r="N99" s="30">
        <f t="shared" si="180"/>
        <v>-11278.279999999999</v>
      </c>
      <c r="O99" s="95">
        <f t="shared" ref="O99" si="237">K99+G99+C99</f>
        <v>198867.26</v>
      </c>
      <c r="P99" s="95">
        <f t="shared" si="228"/>
        <v>153522.79999999999</v>
      </c>
      <c r="Q99" s="95">
        <f t="shared" si="228"/>
        <v>155146.01</v>
      </c>
      <c r="R99" s="30">
        <f t="shared" si="229"/>
        <v>-45344.460000000021</v>
      </c>
      <c r="S99" s="25">
        <f>S100+S101+S106</f>
        <v>57622.42</v>
      </c>
      <c r="T99" s="31">
        <f>T100+T101+T106</f>
        <v>49038.1</v>
      </c>
      <c r="U99" s="95">
        <f>U100+U101+U106</f>
        <v>50445.17</v>
      </c>
      <c r="V99" s="30">
        <f t="shared" si="230"/>
        <v>-8584.32</v>
      </c>
      <c r="W99" s="25">
        <f>W100+W101+W106</f>
        <v>53622.42</v>
      </c>
      <c r="X99" s="31">
        <f>X100+X101+X106</f>
        <v>45686.3</v>
      </c>
      <c r="Y99" s="40">
        <f>Y100+Y101+Y106</f>
        <v>49039.78</v>
      </c>
      <c r="Z99" s="31">
        <f t="shared" si="205"/>
        <v>-7936.1199999999953</v>
      </c>
      <c r="AA99" s="89">
        <f>AA100+AA101+AA106</f>
        <v>54122.42</v>
      </c>
      <c r="AB99" s="31">
        <f>AB100+AB101+AB106</f>
        <v>47062.97</v>
      </c>
      <c r="AC99" s="95">
        <f>AC100+AC101+AC106</f>
        <v>45686.299999999996</v>
      </c>
      <c r="AD99" s="30">
        <f t="shared" si="206"/>
        <v>-7059.4499999999971</v>
      </c>
      <c r="AE99" s="25">
        <f>AE100+AE101+AE106</f>
        <v>165367.26</v>
      </c>
      <c r="AF99" s="31">
        <f>AF100+AF101+AF106</f>
        <v>141787.37</v>
      </c>
      <c r="AG99" s="31">
        <f>AG100+AG101+AG106</f>
        <v>145171.25</v>
      </c>
      <c r="AH99" s="19">
        <f t="shared" si="194"/>
        <v>-23579.890000000014</v>
      </c>
      <c r="AI99" s="25">
        <f>AI100+AI101+AI106</f>
        <v>364234.52</v>
      </c>
      <c r="AJ99" s="31">
        <f>AJ100+AJ101+AJ106</f>
        <v>295310.17</v>
      </c>
      <c r="AK99" s="31">
        <f>AK100+AK101+AK106</f>
        <v>300317.26</v>
      </c>
      <c r="AL99" s="30">
        <f t="shared" si="162"/>
        <v>-68924.350000000035</v>
      </c>
      <c r="AM99" s="25">
        <f>AM100+AM101+AM106</f>
        <v>50622.42</v>
      </c>
      <c r="AN99" s="31">
        <f>AN100+AN101+AN106</f>
        <v>49655.570000000007</v>
      </c>
      <c r="AO99" s="31">
        <f>AO100+AO101+AO106</f>
        <v>52648.09</v>
      </c>
      <c r="AP99" s="32">
        <f t="shared" si="207"/>
        <v>-966.84999999999127</v>
      </c>
      <c r="AQ99" s="25">
        <f>AQ100+AQ101+AQ106</f>
        <v>51122.42</v>
      </c>
      <c r="AR99" s="95">
        <f>AR100+AR101+AR106</f>
        <v>46680.65</v>
      </c>
      <c r="AS99" s="95">
        <f>AS100+AS101+AS106</f>
        <v>46333.829999999994</v>
      </c>
      <c r="AT99" s="32">
        <f t="shared" si="208"/>
        <v>-4441.7699999999968</v>
      </c>
      <c r="AU99" s="25">
        <f>AU100+AU101+AU106</f>
        <v>51122.42</v>
      </c>
      <c r="AV99" s="31">
        <f>AV100+AV101+AV106</f>
        <v>52461.760000000002</v>
      </c>
      <c r="AW99" s="95">
        <f>AW100+AW101+AW106</f>
        <v>50376.039999999994</v>
      </c>
      <c r="AX99" s="32">
        <f t="shared" si="209"/>
        <v>1339.3400000000038</v>
      </c>
      <c r="AY99" s="25">
        <f>AY100+AY101+AY106</f>
        <v>152867.26</v>
      </c>
      <c r="AZ99" s="31">
        <f>AZ100+AZ101+AZ106</f>
        <v>148797.98000000001</v>
      </c>
      <c r="BA99" s="31">
        <f>BA100+BA101+BA106</f>
        <v>149357.96</v>
      </c>
      <c r="BB99" s="30">
        <f t="shared" si="211"/>
        <v>-4069.2799999999988</v>
      </c>
      <c r="BC99" s="190">
        <f t="shared" si="212"/>
        <v>517101.78</v>
      </c>
      <c r="BD99" s="84">
        <f t="shared" si="212"/>
        <v>444108.15</v>
      </c>
      <c r="BE99" s="84">
        <f t="shared" si="212"/>
        <v>449675.22</v>
      </c>
      <c r="BF99" s="170">
        <f t="shared" si="213"/>
        <v>-72993.63</v>
      </c>
      <c r="BG99" s="89">
        <f>BG100+BG101+BG106</f>
        <v>60122.42</v>
      </c>
      <c r="BH99" s="31">
        <f>BH100+BH101+BH106</f>
        <v>49618.05</v>
      </c>
      <c r="BI99" s="95">
        <f>BI100+BI101+BI106</f>
        <v>4103.1499999999996</v>
      </c>
      <c r="BJ99" s="27">
        <f t="shared" si="214"/>
        <v>-10504.369999999995</v>
      </c>
      <c r="BK99" s="90">
        <f>BK100+BK101+BK106</f>
        <v>65122.42</v>
      </c>
      <c r="BL99" s="95">
        <f>BL100+BL101+BL106</f>
        <v>53228.010000000009</v>
      </c>
      <c r="BM99" s="95">
        <f>BM100+BM101+BM106</f>
        <v>91696.349999999991</v>
      </c>
      <c r="BN99" s="27">
        <f t="shared" si="215"/>
        <v>-11894.409999999989</v>
      </c>
      <c r="BO99" s="90">
        <f>BO100+BO101+BO106</f>
        <v>65122.42</v>
      </c>
      <c r="BP99" s="95">
        <f>BP100+BP101</f>
        <v>56290.41</v>
      </c>
      <c r="BQ99" s="95">
        <f>BQ100+BQ101</f>
        <v>64452.63</v>
      </c>
      <c r="BR99" s="27">
        <f t="shared" si="216"/>
        <v>-8832.0099999999948</v>
      </c>
      <c r="BS99" s="17">
        <f t="shared" si="217"/>
        <v>190367.26</v>
      </c>
      <c r="BT99" s="18">
        <f t="shared" si="217"/>
        <v>159136.47000000003</v>
      </c>
      <c r="BU99" s="18">
        <f>BI99+BM99+BQ99</f>
        <v>160252.12999999998</v>
      </c>
      <c r="BV99" s="20">
        <f t="shared" si="218"/>
        <v>-31230.789999999979</v>
      </c>
      <c r="BW99" s="17">
        <f t="shared" si="219"/>
        <v>343234.52</v>
      </c>
      <c r="BX99" s="18">
        <f t="shared" si="219"/>
        <v>307934.45000000007</v>
      </c>
      <c r="BY99" s="18">
        <f>BU99+BA99</f>
        <v>309610.08999999997</v>
      </c>
      <c r="BZ99" s="20">
        <f t="shared" si="220"/>
        <v>-35300.069999999949</v>
      </c>
      <c r="CA99" s="25">
        <f>CA100+CA101+CA106</f>
        <v>707469.04</v>
      </c>
      <c r="CB99" s="31">
        <f>CB100+CB101+CB106</f>
        <v>603244.62</v>
      </c>
      <c r="CC99" s="31">
        <f>BY99+AK99</f>
        <v>609927.35</v>
      </c>
      <c r="CD99" s="32">
        <f t="shared" si="222"/>
        <v>-104224.42000000004</v>
      </c>
      <c r="CG99" s="93"/>
      <c r="CH99" s="93"/>
      <c r="CJ99" s="91">
        <f t="shared" si="235"/>
        <v>190367.26</v>
      </c>
      <c r="CK99" s="91">
        <f t="shared" si="235"/>
        <v>159136.47000000003</v>
      </c>
      <c r="CL99" s="91">
        <f t="shared" si="235"/>
        <v>160252.12999999998</v>
      </c>
      <c r="CM99" s="91">
        <f t="shared" si="235"/>
        <v>-31230.789999999979</v>
      </c>
      <c r="CN99" s="91">
        <f t="shared" si="236"/>
        <v>707469.04</v>
      </c>
      <c r="CO99" s="91">
        <f t="shared" si="236"/>
        <v>603244.62000000011</v>
      </c>
      <c r="CP99" s="91">
        <f t="shared" si="236"/>
        <v>609927.35</v>
      </c>
      <c r="CQ99" s="91">
        <f t="shared" si="236"/>
        <v>-104224.42000000001</v>
      </c>
    </row>
    <row r="100" spans="1:95" ht="16.5" x14ac:dyDescent="0.3">
      <c r="A100" s="9">
        <v>4.0999999999999996</v>
      </c>
      <c r="B100" s="39" t="s">
        <v>97</v>
      </c>
      <c r="C100" s="168">
        <v>41622.42</v>
      </c>
      <c r="D100" s="43">
        <v>41622.42</v>
      </c>
      <c r="E100" s="43">
        <v>41622.42</v>
      </c>
      <c r="F100" s="170">
        <f t="shared" si="225"/>
        <v>0</v>
      </c>
      <c r="G100" s="83">
        <v>41622.42</v>
      </c>
      <c r="H100" s="18">
        <v>41622.42</v>
      </c>
      <c r="I100" s="43">
        <v>41622.42</v>
      </c>
      <c r="J100" s="19">
        <f t="shared" si="226"/>
        <v>0</v>
      </c>
      <c r="K100" s="17">
        <v>41622.42</v>
      </c>
      <c r="L100" s="18">
        <v>41797.97</v>
      </c>
      <c r="M100" s="43">
        <v>41797.97</v>
      </c>
      <c r="N100" s="19">
        <f t="shared" si="180"/>
        <v>175.55000000000291</v>
      </c>
      <c r="O100" s="17">
        <f t="shared" si="227"/>
        <v>124867.26</v>
      </c>
      <c r="P100" s="43">
        <f t="shared" si="228"/>
        <v>125042.81</v>
      </c>
      <c r="Q100" s="43">
        <f t="shared" si="228"/>
        <v>125042.81</v>
      </c>
      <c r="R100" s="19">
        <f t="shared" si="229"/>
        <v>175.55000000000291</v>
      </c>
      <c r="S100" s="17">
        <v>41622.42</v>
      </c>
      <c r="T100" s="18">
        <v>42399</v>
      </c>
      <c r="U100" s="43">
        <v>42399</v>
      </c>
      <c r="V100" s="19">
        <f t="shared" si="230"/>
        <v>776.58000000000175</v>
      </c>
      <c r="W100" s="17">
        <v>41622.42</v>
      </c>
      <c r="X100" s="18">
        <f>15708.6+26691.24</f>
        <v>42399.840000000004</v>
      </c>
      <c r="Y100" s="37">
        <v>42400.68</v>
      </c>
      <c r="Z100" s="18">
        <f t="shared" si="205"/>
        <v>777.42000000000553</v>
      </c>
      <c r="AA100" s="83">
        <v>41622.42</v>
      </c>
      <c r="AB100" s="18">
        <f>15708.6+26691.24</f>
        <v>42399.840000000004</v>
      </c>
      <c r="AC100" s="43">
        <v>42399.839999999997</v>
      </c>
      <c r="AD100" s="19">
        <f t="shared" si="206"/>
        <v>777.42000000000553</v>
      </c>
      <c r="AE100" s="17">
        <f>S100+W100+AA100</f>
        <v>124867.26</v>
      </c>
      <c r="AF100" s="18">
        <f>T100+X100+AB100</f>
        <v>127198.68</v>
      </c>
      <c r="AG100" s="18">
        <f>U100+Y100+AC100</f>
        <v>127199.51999999999</v>
      </c>
      <c r="AH100" s="19">
        <f t="shared" si="194"/>
        <v>2331.4199999999983</v>
      </c>
      <c r="AI100" s="17">
        <f>AE100+O100</f>
        <v>249734.52</v>
      </c>
      <c r="AJ100" s="18">
        <f>AF100+P100</f>
        <v>252241.49</v>
      </c>
      <c r="AK100" s="18">
        <f>AG100+Q100</f>
        <v>252242.33</v>
      </c>
      <c r="AL100" s="19">
        <f t="shared" si="162"/>
        <v>2506.9700000000012</v>
      </c>
      <c r="AM100" s="17">
        <v>41622.42</v>
      </c>
      <c r="AN100" s="18">
        <f>26691.24+15708.6</f>
        <v>42399.840000000004</v>
      </c>
      <c r="AO100" s="18">
        <v>44053.84</v>
      </c>
      <c r="AP100" s="20">
        <f t="shared" si="207"/>
        <v>777.42000000000553</v>
      </c>
      <c r="AQ100" s="17">
        <v>41622.42</v>
      </c>
      <c r="AR100" s="43">
        <f>26691.24+15708.6</f>
        <v>42399.840000000004</v>
      </c>
      <c r="AS100" s="43">
        <v>42399.839999999997</v>
      </c>
      <c r="AT100" s="20">
        <f t="shared" si="208"/>
        <v>777.42000000000553</v>
      </c>
      <c r="AU100" s="17">
        <v>41622.42</v>
      </c>
      <c r="AV100" s="18">
        <f>26691.24+15708.6</f>
        <v>42399.840000000004</v>
      </c>
      <c r="AW100" s="43">
        <v>40745.839999999997</v>
      </c>
      <c r="AX100" s="20">
        <f t="shared" si="209"/>
        <v>777.42000000000553</v>
      </c>
      <c r="AY100" s="17">
        <f>AM100+AQ100+AU100</f>
        <v>124867.26</v>
      </c>
      <c r="AZ100" s="18">
        <f>AN100+AR100+AV100</f>
        <v>127199.52000000002</v>
      </c>
      <c r="BA100" s="18">
        <f>AO100+AS100+AW100</f>
        <v>127199.51999999999</v>
      </c>
      <c r="BB100" s="19">
        <f t="shared" si="211"/>
        <v>2332.2600000000239</v>
      </c>
      <c r="BC100" s="190">
        <f t="shared" si="212"/>
        <v>374601.77999999997</v>
      </c>
      <c r="BD100" s="84">
        <f t="shared" si="212"/>
        <v>379441.01</v>
      </c>
      <c r="BE100" s="84">
        <f t="shared" si="212"/>
        <v>379441.85</v>
      </c>
      <c r="BF100" s="170">
        <f t="shared" si="213"/>
        <v>4839.2300000000396</v>
      </c>
      <c r="BG100" s="17">
        <v>41622.42</v>
      </c>
      <c r="BH100" s="18">
        <f>26691.24+15708.6</f>
        <v>42399.840000000004</v>
      </c>
      <c r="BI100" s="43"/>
      <c r="BJ100" s="41">
        <f t="shared" si="214"/>
        <v>777.42000000000553</v>
      </c>
      <c r="BK100" s="17">
        <v>41622.42</v>
      </c>
      <c r="BL100" s="43">
        <f>26691.24+15708.6</f>
        <v>42399.840000000004</v>
      </c>
      <c r="BM100" s="43">
        <v>84799.679999999993</v>
      </c>
      <c r="BN100" s="41">
        <f t="shared" si="215"/>
        <v>777.42000000000553</v>
      </c>
      <c r="BO100" s="17">
        <v>41622.42</v>
      </c>
      <c r="BP100" s="43">
        <f>26691.24+15708.6</f>
        <v>42399.840000000004</v>
      </c>
      <c r="BQ100" s="43">
        <v>52659.839999999997</v>
      </c>
      <c r="BR100" s="41">
        <f t="shared" si="216"/>
        <v>777.42000000000553</v>
      </c>
      <c r="BS100" s="17">
        <f t="shared" si="217"/>
        <v>124867.26</v>
      </c>
      <c r="BT100" s="18">
        <f t="shared" si="217"/>
        <v>127199.52000000002</v>
      </c>
      <c r="BU100" s="18">
        <f t="shared" si="217"/>
        <v>137459.51999999999</v>
      </c>
      <c r="BV100" s="20">
        <f t="shared" si="218"/>
        <v>2332.2600000000239</v>
      </c>
      <c r="BW100" s="17">
        <f t="shared" si="219"/>
        <v>249734.52</v>
      </c>
      <c r="BX100" s="18">
        <f t="shared" si="219"/>
        <v>254399.04000000004</v>
      </c>
      <c r="BY100" s="18">
        <f t="shared" si="219"/>
        <v>264659.03999999998</v>
      </c>
      <c r="BZ100" s="20">
        <f t="shared" si="220"/>
        <v>4664.5200000000477</v>
      </c>
      <c r="CA100" s="17">
        <f>BW100+AI100</f>
        <v>499469.04</v>
      </c>
      <c r="CB100" s="18">
        <f>BX100+AJ100</f>
        <v>506640.53</v>
      </c>
      <c r="CC100" s="18">
        <f>BY100+AK100</f>
        <v>516901.37</v>
      </c>
      <c r="CD100" s="20">
        <f t="shared" si="222"/>
        <v>7171.4900000000489</v>
      </c>
      <c r="CG100" s="93"/>
      <c r="CH100" s="93"/>
      <c r="CJ100" s="91">
        <f t="shared" si="235"/>
        <v>124867.26</v>
      </c>
      <c r="CK100" s="91">
        <f t="shared" si="235"/>
        <v>127199.52000000002</v>
      </c>
      <c r="CL100" s="91">
        <f t="shared" si="235"/>
        <v>137459.51999999999</v>
      </c>
      <c r="CM100" s="91">
        <f t="shared" si="235"/>
        <v>2332.2600000000166</v>
      </c>
      <c r="CN100" s="91">
        <f t="shared" si="236"/>
        <v>499469.04</v>
      </c>
      <c r="CO100" s="91">
        <f t="shared" si="236"/>
        <v>506640.53</v>
      </c>
      <c r="CP100" s="91">
        <f t="shared" si="236"/>
        <v>516901.37</v>
      </c>
      <c r="CQ100" s="91">
        <f t="shared" si="236"/>
        <v>7171.4900000000416</v>
      </c>
    </row>
    <row r="101" spans="1:95" ht="16.5" x14ac:dyDescent="0.3">
      <c r="A101" s="9">
        <v>4.2</v>
      </c>
      <c r="B101" s="39" t="s">
        <v>98</v>
      </c>
      <c r="C101" s="168">
        <f>C102+C103+C104+C105</f>
        <v>23500</v>
      </c>
      <c r="D101" s="25">
        <f>D102+D103+D104+D105</f>
        <v>10657</v>
      </c>
      <c r="E101" s="25">
        <f>E102+E103+E104+E105</f>
        <v>9669.39</v>
      </c>
      <c r="F101" s="170">
        <f t="shared" si="225"/>
        <v>-12843</v>
      </c>
      <c r="G101" s="89">
        <f>G102+G103+G104+G105</f>
        <v>21000</v>
      </c>
      <c r="H101" s="25">
        <f>H102+H103+H104+H105</f>
        <v>9776.82</v>
      </c>
      <c r="I101" s="90">
        <f>I102+I103+I104+I105</f>
        <v>10657</v>
      </c>
      <c r="J101" s="19">
        <f t="shared" si="226"/>
        <v>-11223.18</v>
      </c>
      <c r="K101" s="25">
        <f>K102+K103+K104+K105</f>
        <v>14500</v>
      </c>
      <c r="L101" s="25">
        <f>L102+L103+L104+L105</f>
        <v>8046.17</v>
      </c>
      <c r="M101" s="90">
        <f>M102+M103+M104+M105</f>
        <v>9776.81</v>
      </c>
      <c r="N101" s="30">
        <f t="shared" si="180"/>
        <v>-6453.83</v>
      </c>
      <c r="O101" s="25">
        <f t="shared" ref="O101:P101" si="238">O102+O103+O104+O105</f>
        <v>59000</v>
      </c>
      <c r="P101" s="25">
        <f t="shared" si="238"/>
        <v>28479.99</v>
      </c>
      <c r="Q101" s="25">
        <f>Q102+Q103+Q104+Q105</f>
        <v>30103.200000000001</v>
      </c>
      <c r="R101" s="30">
        <f t="shared" si="229"/>
        <v>-30520.01</v>
      </c>
      <c r="S101" s="25">
        <f>S102+S103+S104+S105</f>
        <v>11000</v>
      </c>
      <c r="T101" s="25">
        <f>T102+T103+T104+T105</f>
        <v>6639.0999999999995</v>
      </c>
      <c r="U101" s="90">
        <f>U102+U103+U104+U105</f>
        <v>8046.17</v>
      </c>
      <c r="V101" s="30">
        <f t="shared" si="230"/>
        <v>-4360.9000000000005</v>
      </c>
      <c r="W101" s="25">
        <f>W102+W103+W104+W105</f>
        <v>7000</v>
      </c>
      <c r="X101" s="25">
        <f>X102+X103+X104+X105</f>
        <v>3286.46</v>
      </c>
      <c r="Y101" s="25">
        <f>Y102+Y103+Y104+Y105</f>
        <v>6639.0999999999995</v>
      </c>
      <c r="Z101" s="31">
        <f t="shared" si="205"/>
        <v>-3713.54</v>
      </c>
      <c r="AA101" s="25">
        <f>AA102+AA103+AA104+AA105</f>
        <v>7500</v>
      </c>
      <c r="AB101" s="25">
        <f>AB102+AB103+AB104+AB105</f>
        <v>4663.13</v>
      </c>
      <c r="AC101" s="90">
        <f>AC102+AC103+AC104+AC105</f>
        <v>3286.46</v>
      </c>
      <c r="AD101" s="30">
        <f t="shared" si="206"/>
        <v>-2836.87</v>
      </c>
      <c r="AE101" s="25">
        <f>AE102+AE103+AE104+AE105</f>
        <v>25500</v>
      </c>
      <c r="AF101" s="25">
        <f>AF102+AF103+AF104+AF105</f>
        <v>14588.69</v>
      </c>
      <c r="AG101" s="25">
        <f>AG102+AG103+AG104+AG105</f>
        <v>17971.730000000003</v>
      </c>
      <c r="AH101" s="19">
        <f t="shared" si="194"/>
        <v>-10911.31</v>
      </c>
      <c r="AI101" s="25">
        <f>AI102+AI103+AI104+AI105</f>
        <v>84500</v>
      </c>
      <c r="AJ101" s="25">
        <f>AJ102+AJ103+AJ104+AJ105</f>
        <v>43068.68</v>
      </c>
      <c r="AK101" s="25">
        <f>AK102+AK103+AK104+AK105</f>
        <v>48074.93</v>
      </c>
      <c r="AL101" s="30">
        <f t="shared" si="162"/>
        <v>-41431.32</v>
      </c>
      <c r="AM101" s="25">
        <f>AM102+AM103+AM104+AM105</f>
        <v>8000</v>
      </c>
      <c r="AN101" s="25">
        <f>AN102+AN103+AN104+AN105</f>
        <v>7255.73</v>
      </c>
      <c r="AO101" s="25">
        <f>AO102+AO103+AO104+AO105</f>
        <v>8594.25</v>
      </c>
      <c r="AP101" s="32">
        <f t="shared" si="207"/>
        <v>-744.27000000000044</v>
      </c>
      <c r="AQ101" s="25">
        <f>AQ102+AQ103+AQ104+AQ105</f>
        <v>8500</v>
      </c>
      <c r="AR101" s="90">
        <f>AR102+AR103+AR104+AR105</f>
        <v>4280.8099999999995</v>
      </c>
      <c r="AS101" s="90">
        <f>AS102+AS103+AS104+AS105</f>
        <v>3933.99</v>
      </c>
      <c r="AT101" s="32">
        <f t="shared" si="208"/>
        <v>-4219.1900000000005</v>
      </c>
      <c r="AU101" s="25">
        <f>AU102+AU103+AU104+AU105</f>
        <v>8500</v>
      </c>
      <c r="AV101" s="25">
        <f>AV102+AV103+AV104+AV105</f>
        <v>10061.92</v>
      </c>
      <c r="AW101" s="25">
        <f>AW102+AW103+AW104+AW105</f>
        <v>9630.2000000000007</v>
      </c>
      <c r="AX101" s="32">
        <f t="shared" si="209"/>
        <v>1561.92</v>
      </c>
      <c r="AY101" s="25">
        <f>AY102+AY103+AY104+AY105</f>
        <v>25000</v>
      </c>
      <c r="AZ101" s="25">
        <f>AZ102+AZ103+AZ104+AZ105</f>
        <v>21598.46</v>
      </c>
      <c r="BA101" s="25">
        <f>BA102+BA103+BA104+BA105</f>
        <v>22158.440000000002</v>
      </c>
      <c r="BB101" s="30">
        <f t="shared" si="211"/>
        <v>-3401.5400000000009</v>
      </c>
      <c r="BC101" s="168">
        <f>BC102+BC103+BC104+BC105</f>
        <v>109500</v>
      </c>
      <c r="BD101" s="25">
        <f>BD102+BD103+BD104+BD105</f>
        <v>64667.14</v>
      </c>
      <c r="BE101" s="25">
        <f>BE102+BE103+BE104+BE105</f>
        <v>70233.37000000001</v>
      </c>
      <c r="BF101" s="170">
        <f t="shared" si="213"/>
        <v>-44832.86</v>
      </c>
      <c r="BG101" s="89">
        <f>BG102+BG103+BG104+BG105</f>
        <v>17500</v>
      </c>
      <c r="BH101" s="25">
        <f>BH102+BH103+BH104+BH105</f>
        <v>7218.21</v>
      </c>
      <c r="BI101" s="90">
        <f>BI102+BI103+BI104+BI105</f>
        <v>4103.1499999999996</v>
      </c>
      <c r="BJ101" s="27">
        <f t="shared" si="214"/>
        <v>-10281.790000000001</v>
      </c>
      <c r="BK101" s="90">
        <f>BK102+BK103+BK104+BK105</f>
        <v>22500</v>
      </c>
      <c r="BL101" s="90">
        <f>BL102+BL103+BL104+BL105</f>
        <v>10828.170000000002</v>
      </c>
      <c r="BM101" s="90">
        <f>BM102+BM103+BM104+BM105</f>
        <v>6896.67</v>
      </c>
      <c r="BN101" s="27">
        <f t="shared" si="215"/>
        <v>-11671.829999999998</v>
      </c>
      <c r="BO101" s="90">
        <f>BO102+BO103+BO104+BO105</f>
        <v>22500</v>
      </c>
      <c r="BP101" s="90">
        <f>BP102+BP103+BP104+BP105</f>
        <v>13890.57</v>
      </c>
      <c r="BQ101" s="90">
        <f>BQ102+BQ103+BQ104+BQ105</f>
        <v>11792.79</v>
      </c>
      <c r="BR101" s="27">
        <f t="shared" si="216"/>
        <v>-8609.43</v>
      </c>
      <c r="BS101" s="25">
        <f>BS102+BS103+BS104+BS105</f>
        <v>62500</v>
      </c>
      <c r="BT101" s="25">
        <f>BT102+BT103+BT104+BT105</f>
        <v>31936.95</v>
      </c>
      <c r="BU101" s="25">
        <f>BU102+BU103+BU104+BU105</f>
        <v>22792.609999999997</v>
      </c>
      <c r="BV101" s="20">
        <f t="shared" si="218"/>
        <v>-30563.05</v>
      </c>
      <c r="BW101" s="25">
        <f>BW102+BW103+BW104+BW105</f>
        <v>87500</v>
      </c>
      <c r="BX101" s="25">
        <f>BX102+BX103+BX104+BX105</f>
        <v>53535.409999999996</v>
      </c>
      <c r="BY101" s="25">
        <f>BY102+BY103+BY104+BY105</f>
        <v>44951.049999999996</v>
      </c>
      <c r="BZ101" s="20">
        <f t="shared" si="220"/>
        <v>-33964.590000000004</v>
      </c>
      <c r="CA101" s="25">
        <f>CA102+CA103+CA104+CA105</f>
        <v>172000</v>
      </c>
      <c r="CB101" s="25">
        <f>CB102+CB103+CB104+CB105</f>
        <v>96604.09</v>
      </c>
      <c r="CC101" s="25">
        <f>CC102+CC103+CC104+CC105</f>
        <v>93025.979999999981</v>
      </c>
      <c r="CD101" s="32">
        <f t="shared" si="222"/>
        <v>-75395.91</v>
      </c>
      <c r="CG101" s="93"/>
      <c r="CH101" s="93"/>
      <c r="CJ101" s="208">
        <f>SUM(CJ102:CJ105)</f>
        <v>62500</v>
      </c>
      <c r="CK101" s="208">
        <f>SUM(CK102:CK105)</f>
        <v>31936.95</v>
      </c>
      <c r="CL101" s="208">
        <f>SUM(CL102:CL105)</f>
        <v>22792.609999999997</v>
      </c>
      <c r="CM101" s="208">
        <f>SUM(CM102:CM105)</f>
        <v>-31849.21</v>
      </c>
      <c r="CN101" s="208">
        <f t="shared" si="236"/>
        <v>172000</v>
      </c>
      <c r="CO101" s="208">
        <f t="shared" si="236"/>
        <v>96604.09</v>
      </c>
      <c r="CP101" s="208">
        <f t="shared" si="236"/>
        <v>93025.98000000001</v>
      </c>
      <c r="CQ101" s="208">
        <f t="shared" si="236"/>
        <v>-76682.070000000007</v>
      </c>
    </row>
    <row r="102" spans="1:95" ht="16.5" x14ac:dyDescent="0.3">
      <c r="A102" s="9"/>
      <c r="B102" s="28" t="s">
        <v>99</v>
      </c>
      <c r="C102" s="168">
        <v>2500</v>
      </c>
      <c r="D102" s="18"/>
      <c r="E102" s="43"/>
      <c r="F102" s="170">
        <f t="shared" si="225"/>
        <v>-2500</v>
      </c>
      <c r="G102" s="83">
        <v>2500</v>
      </c>
      <c r="H102" s="18"/>
      <c r="I102" s="43"/>
      <c r="J102" s="19">
        <f t="shared" si="226"/>
        <v>-2500</v>
      </c>
      <c r="K102" s="17">
        <v>2500</v>
      </c>
      <c r="L102" s="18"/>
      <c r="M102" s="43"/>
      <c r="N102" s="19">
        <f t="shared" si="180"/>
        <v>-2500</v>
      </c>
      <c r="O102" s="17">
        <f>C102+G102+K102</f>
        <v>7500</v>
      </c>
      <c r="P102" s="43">
        <f t="shared" ref="P102:Q105" si="239">L102+H102+D102</f>
        <v>0</v>
      </c>
      <c r="Q102" s="43">
        <f t="shared" si="239"/>
        <v>0</v>
      </c>
      <c r="R102" s="19">
        <f t="shared" si="229"/>
        <v>-7500</v>
      </c>
      <c r="S102" s="17">
        <v>2500</v>
      </c>
      <c r="T102" s="18"/>
      <c r="U102" s="43"/>
      <c r="V102" s="19">
        <f t="shared" si="230"/>
        <v>-2500</v>
      </c>
      <c r="W102" s="17">
        <v>2500</v>
      </c>
      <c r="X102" s="18"/>
      <c r="Y102" s="37"/>
      <c r="Z102" s="18">
        <f t="shared" si="205"/>
        <v>-2500</v>
      </c>
      <c r="AA102" s="83">
        <v>2500</v>
      </c>
      <c r="AB102" s="18"/>
      <c r="AC102" s="43"/>
      <c r="AD102" s="19">
        <f t="shared" si="206"/>
        <v>-2500</v>
      </c>
      <c r="AE102" s="17">
        <f t="shared" ref="AE102:AG105" si="240">S102+W102+AA102</f>
        <v>7500</v>
      </c>
      <c r="AF102" s="18">
        <f t="shared" si="240"/>
        <v>0</v>
      </c>
      <c r="AG102" s="18">
        <f t="shared" si="240"/>
        <v>0</v>
      </c>
      <c r="AH102" s="19">
        <f t="shared" si="194"/>
        <v>-7500</v>
      </c>
      <c r="AI102" s="17">
        <f t="shared" ref="AI102:AK105" si="241">AE102+O102</f>
        <v>15000</v>
      </c>
      <c r="AJ102" s="18">
        <f t="shared" si="241"/>
        <v>0</v>
      </c>
      <c r="AK102" s="18">
        <f t="shared" si="241"/>
        <v>0</v>
      </c>
      <c r="AL102" s="19">
        <f t="shared" si="162"/>
        <v>-15000</v>
      </c>
      <c r="AM102" s="17">
        <v>2500</v>
      </c>
      <c r="AN102" s="18"/>
      <c r="AO102" s="18"/>
      <c r="AP102" s="20">
        <f t="shared" si="207"/>
        <v>-2500</v>
      </c>
      <c r="AQ102" s="17">
        <v>2500</v>
      </c>
      <c r="AR102" s="43"/>
      <c r="AS102" s="43"/>
      <c r="AT102" s="20">
        <f t="shared" si="208"/>
        <v>-2500</v>
      </c>
      <c r="AU102" s="17">
        <v>2500</v>
      </c>
      <c r="AV102" s="18">
        <v>5280</v>
      </c>
      <c r="AW102" s="43">
        <v>5280</v>
      </c>
      <c r="AX102" s="20">
        <f t="shared" si="209"/>
        <v>2780</v>
      </c>
      <c r="AY102" s="17">
        <f t="shared" ref="AY102:BA105" si="242">AM102+AQ102+AU102</f>
        <v>7500</v>
      </c>
      <c r="AZ102" s="18">
        <f t="shared" si="242"/>
        <v>5280</v>
      </c>
      <c r="BA102" s="18">
        <f t="shared" si="242"/>
        <v>5280</v>
      </c>
      <c r="BB102" s="19">
        <f t="shared" si="211"/>
        <v>-2220</v>
      </c>
      <c r="BC102" s="190">
        <f t="shared" ref="BC102:BE105" si="243">(AI102+AY102)</f>
        <v>22500</v>
      </c>
      <c r="BD102" s="84">
        <f t="shared" si="243"/>
        <v>5280</v>
      </c>
      <c r="BE102" s="84">
        <f t="shared" si="243"/>
        <v>5280</v>
      </c>
      <c r="BF102" s="170">
        <f t="shared" si="213"/>
        <v>-17220</v>
      </c>
      <c r="BG102" s="83">
        <v>2500</v>
      </c>
      <c r="BH102" s="18"/>
      <c r="BI102" s="43"/>
      <c r="BJ102" s="41">
        <f t="shared" si="214"/>
        <v>-2500</v>
      </c>
      <c r="BK102" s="44">
        <v>2500</v>
      </c>
      <c r="BL102" s="43"/>
      <c r="BM102" s="43"/>
      <c r="BN102" s="41">
        <f t="shared" si="215"/>
        <v>-2500</v>
      </c>
      <c r="BO102" s="44">
        <v>2500</v>
      </c>
      <c r="BP102" s="43"/>
      <c r="BQ102" s="43"/>
      <c r="BR102" s="41">
        <f t="shared" si="216"/>
        <v>-2500</v>
      </c>
      <c r="BS102" s="17">
        <f t="shared" ref="BS102:BU105" si="244">BG102+BK102+BO102</f>
        <v>7500</v>
      </c>
      <c r="BT102" s="18">
        <f t="shared" si="244"/>
        <v>0</v>
      </c>
      <c r="BU102" s="18">
        <f t="shared" si="244"/>
        <v>0</v>
      </c>
      <c r="BV102" s="20">
        <f t="shared" si="218"/>
        <v>-7500</v>
      </c>
      <c r="BW102" s="17">
        <f t="shared" ref="BW102:BY105" si="245">BS102+AY102</f>
        <v>15000</v>
      </c>
      <c r="BX102" s="18">
        <f t="shared" si="245"/>
        <v>5280</v>
      </c>
      <c r="BY102" s="18">
        <f t="shared" si="245"/>
        <v>5280</v>
      </c>
      <c r="BZ102" s="20">
        <f t="shared" si="220"/>
        <v>-9720</v>
      </c>
      <c r="CA102" s="17">
        <f t="shared" ref="CA102:CC105" si="246">BW102+AI102</f>
        <v>30000</v>
      </c>
      <c r="CB102" s="18">
        <f t="shared" si="246"/>
        <v>5280</v>
      </c>
      <c r="CC102" s="18">
        <f t="shared" si="246"/>
        <v>5280</v>
      </c>
      <c r="CD102" s="20">
        <f t="shared" si="222"/>
        <v>-24720</v>
      </c>
      <c r="CG102" s="93"/>
      <c r="CH102" s="93"/>
      <c r="CJ102" s="91">
        <f t="shared" ref="CJ102:CM106" si="247">BG102+BK102+BO102</f>
        <v>7500</v>
      </c>
      <c r="CK102" s="91">
        <f t="shared" si="247"/>
        <v>0</v>
      </c>
      <c r="CL102" s="91">
        <f t="shared" si="247"/>
        <v>0</v>
      </c>
      <c r="CM102" s="91">
        <f t="shared" si="247"/>
        <v>-7500</v>
      </c>
      <c r="CN102" s="91">
        <f t="shared" si="236"/>
        <v>30000</v>
      </c>
      <c r="CO102" s="91">
        <f t="shared" si="236"/>
        <v>5280</v>
      </c>
      <c r="CP102" s="91">
        <f t="shared" si="236"/>
        <v>5280</v>
      </c>
      <c r="CQ102" s="91">
        <f t="shared" si="236"/>
        <v>-24720</v>
      </c>
    </row>
    <row r="103" spans="1:95" ht="16.5" x14ac:dyDescent="0.3">
      <c r="A103" s="9"/>
      <c r="B103" s="28" t="s">
        <v>100</v>
      </c>
      <c r="C103" s="168">
        <v>11000</v>
      </c>
      <c r="D103" s="18">
        <f>683.43+7344.8</f>
        <v>8028.2300000000005</v>
      </c>
      <c r="E103" s="43">
        <v>7353.41</v>
      </c>
      <c r="F103" s="170">
        <f t="shared" si="225"/>
        <v>-2971.7699999999995</v>
      </c>
      <c r="G103" s="83">
        <v>8500</v>
      </c>
      <c r="H103" s="18">
        <f>6799.55+639.41</f>
        <v>7438.96</v>
      </c>
      <c r="I103" s="43">
        <v>8028.23</v>
      </c>
      <c r="J103" s="19">
        <f t="shared" si="226"/>
        <v>-1061.04</v>
      </c>
      <c r="K103" s="17">
        <v>8000</v>
      </c>
      <c r="L103" s="18">
        <f>4999.21+683.43</f>
        <v>5682.64</v>
      </c>
      <c r="M103" s="43">
        <v>7438.95</v>
      </c>
      <c r="N103" s="19">
        <f t="shared" si="180"/>
        <v>-2317.3599999999997</v>
      </c>
      <c r="O103" s="17">
        <f>C103+G103+K103</f>
        <v>27500</v>
      </c>
      <c r="P103" s="43">
        <f t="shared" si="239"/>
        <v>21149.83</v>
      </c>
      <c r="Q103" s="43">
        <f t="shared" si="239"/>
        <v>22820.59</v>
      </c>
      <c r="R103" s="19">
        <f t="shared" si="229"/>
        <v>-6350.1699999999983</v>
      </c>
      <c r="S103" s="17">
        <v>5000</v>
      </c>
      <c r="T103" s="18">
        <f>3851.29+662.36</f>
        <v>4513.6499999999996</v>
      </c>
      <c r="U103" s="43">
        <v>5682.64</v>
      </c>
      <c r="V103" s="19">
        <f t="shared" si="230"/>
        <v>-486.35000000000036</v>
      </c>
      <c r="W103" s="17">
        <v>1000</v>
      </c>
      <c r="X103" s="18">
        <v>683.43</v>
      </c>
      <c r="Y103" s="37">
        <v>4513.6499999999996</v>
      </c>
      <c r="Z103" s="18">
        <f t="shared" si="205"/>
        <v>-316.57000000000005</v>
      </c>
      <c r="AA103" s="83">
        <v>1000</v>
      </c>
      <c r="AB103" s="18">
        <v>618.34</v>
      </c>
      <c r="AC103" s="43">
        <v>683.43</v>
      </c>
      <c r="AD103" s="19">
        <f t="shared" si="206"/>
        <v>-381.65999999999997</v>
      </c>
      <c r="AE103" s="17">
        <f t="shared" si="240"/>
        <v>7000</v>
      </c>
      <c r="AF103" s="18">
        <f t="shared" si="240"/>
        <v>5815.42</v>
      </c>
      <c r="AG103" s="18">
        <f t="shared" si="240"/>
        <v>10879.720000000001</v>
      </c>
      <c r="AH103" s="19">
        <f t="shared" si="194"/>
        <v>-1184.58</v>
      </c>
      <c r="AI103" s="17">
        <f t="shared" si="241"/>
        <v>34500</v>
      </c>
      <c r="AJ103" s="18">
        <f t="shared" si="241"/>
        <v>26965.25</v>
      </c>
      <c r="AK103" s="18">
        <f t="shared" si="241"/>
        <v>33700.31</v>
      </c>
      <c r="AL103" s="19">
        <f t="shared" si="162"/>
        <v>-7534.75</v>
      </c>
      <c r="AM103" s="17">
        <v>500</v>
      </c>
      <c r="AN103" s="18">
        <v>429.64</v>
      </c>
      <c r="AO103" s="18">
        <v>618.34</v>
      </c>
      <c r="AP103" s="20">
        <f t="shared" si="207"/>
        <v>-70.360000000000014</v>
      </c>
      <c r="AQ103" s="17">
        <v>1000</v>
      </c>
      <c r="AR103" s="43">
        <v>700.36</v>
      </c>
      <c r="AS103" s="43">
        <v>429.64</v>
      </c>
      <c r="AT103" s="20">
        <f t="shared" si="208"/>
        <v>-299.64</v>
      </c>
      <c r="AU103" s="17">
        <v>1000</v>
      </c>
      <c r="AV103" s="18">
        <v>678.77</v>
      </c>
      <c r="AW103" s="43">
        <v>1379.13</v>
      </c>
      <c r="AX103" s="20">
        <f t="shared" si="209"/>
        <v>-321.23</v>
      </c>
      <c r="AY103" s="17">
        <f t="shared" si="242"/>
        <v>2500</v>
      </c>
      <c r="AZ103" s="18">
        <f t="shared" si="242"/>
        <v>1808.77</v>
      </c>
      <c r="BA103" s="18">
        <f t="shared" si="242"/>
        <v>2427.11</v>
      </c>
      <c r="BB103" s="19">
        <f t="shared" si="211"/>
        <v>-691.23</v>
      </c>
      <c r="BC103" s="190">
        <f t="shared" si="243"/>
        <v>37000</v>
      </c>
      <c r="BD103" s="84">
        <f t="shared" si="243"/>
        <v>28774.02</v>
      </c>
      <c r="BE103" s="84">
        <f t="shared" si="243"/>
        <v>36127.42</v>
      </c>
      <c r="BF103" s="170">
        <f t="shared" si="213"/>
        <v>-8225.98</v>
      </c>
      <c r="BG103" s="83">
        <v>5000</v>
      </c>
      <c r="BH103" s="18">
        <f>700.36+1976.52</f>
        <v>2676.88</v>
      </c>
      <c r="BI103" s="43"/>
      <c r="BJ103" s="41">
        <f t="shared" si="214"/>
        <v>-2323.12</v>
      </c>
      <c r="BK103" s="44">
        <v>10000</v>
      </c>
      <c r="BL103" s="43">
        <f>6363.08+678.77</f>
        <v>7041.85</v>
      </c>
      <c r="BM103" s="43">
        <v>2676.88</v>
      </c>
      <c r="BN103" s="41">
        <f t="shared" si="215"/>
        <v>-2958.1499999999996</v>
      </c>
      <c r="BO103" s="44">
        <v>10000</v>
      </c>
      <c r="BP103" s="43">
        <f>700.36+8950.49</f>
        <v>9650.85</v>
      </c>
      <c r="BQ103" s="43">
        <v>7041.85</v>
      </c>
      <c r="BR103" s="41">
        <f t="shared" si="216"/>
        <v>-349.14999999999964</v>
      </c>
      <c r="BS103" s="17">
        <f t="shared" si="244"/>
        <v>25000</v>
      </c>
      <c r="BT103" s="18">
        <f t="shared" si="244"/>
        <v>19369.580000000002</v>
      </c>
      <c r="BU103" s="18">
        <f t="shared" si="244"/>
        <v>9718.73</v>
      </c>
      <c r="BV103" s="20">
        <f t="shared" si="218"/>
        <v>-5630.4199999999983</v>
      </c>
      <c r="BW103" s="17">
        <f t="shared" si="245"/>
        <v>27500</v>
      </c>
      <c r="BX103" s="18">
        <f t="shared" si="245"/>
        <v>21178.350000000002</v>
      </c>
      <c r="BY103" s="18">
        <f t="shared" si="245"/>
        <v>12145.84</v>
      </c>
      <c r="BZ103" s="20">
        <f t="shared" si="220"/>
        <v>-6321.6499999999978</v>
      </c>
      <c r="CA103" s="17">
        <f t="shared" si="246"/>
        <v>62000</v>
      </c>
      <c r="CB103" s="18">
        <f t="shared" si="246"/>
        <v>48143.600000000006</v>
      </c>
      <c r="CC103" s="18">
        <f t="shared" si="246"/>
        <v>45846.149999999994</v>
      </c>
      <c r="CD103" s="20">
        <f t="shared" si="222"/>
        <v>-13856.399999999994</v>
      </c>
      <c r="CG103" s="93"/>
      <c r="CH103" s="93"/>
      <c r="CJ103" s="91">
        <f t="shared" si="247"/>
        <v>25000</v>
      </c>
      <c r="CK103" s="91">
        <f t="shared" si="247"/>
        <v>19369.580000000002</v>
      </c>
      <c r="CL103" s="91">
        <f t="shared" si="247"/>
        <v>9718.73</v>
      </c>
      <c r="CM103" s="91">
        <f t="shared" si="247"/>
        <v>-5630.4199999999992</v>
      </c>
      <c r="CN103" s="91">
        <f t="shared" si="236"/>
        <v>62000</v>
      </c>
      <c r="CO103" s="91">
        <f t="shared" si="236"/>
        <v>48143.600000000006</v>
      </c>
      <c r="CP103" s="91">
        <f t="shared" si="236"/>
        <v>45846.149999999994</v>
      </c>
      <c r="CQ103" s="91">
        <f t="shared" si="236"/>
        <v>-13856.399999999998</v>
      </c>
    </row>
    <row r="104" spans="1:95" ht="16.5" x14ac:dyDescent="0.3">
      <c r="A104" s="9"/>
      <c r="B104" s="28" t="s">
        <v>101</v>
      </c>
      <c r="C104" s="168">
        <v>10000</v>
      </c>
      <c r="D104" s="18">
        <v>2628.77</v>
      </c>
      <c r="E104" s="43">
        <v>2315.98</v>
      </c>
      <c r="F104" s="170">
        <f t="shared" si="225"/>
        <v>-7371.23</v>
      </c>
      <c r="G104" s="83">
        <v>10000</v>
      </c>
      <c r="H104" s="43">
        <v>2337.86</v>
      </c>
      <c r="I104" s="43">
        <v>2628.77</v>
      </c>
      <c r="J104" s="19">
        <f t="shared" si="226"/>
        <v>-7662.1399999999994</v>
      </c>
      <c r="K104" s="17">
        <v>4000</v>
      </c>
      <c r="L104" s="43">
        <v>2363.5300000000002</v>
      </c>
      <c r="M104" s="43">
        <v>2337.86</v>
      </c>
      <c r="N104" s="19">
        <f t="shared" si="180"/>
        <v>-1636.4699999999998</v>
      </c>
      <c r="O104" s="17">
        <f>C104+G104+K104</f>
        <v>24000</v>
      </c>
      <c r="P104" s="43">
        <f t="shared" si="239"/>
        <v>7330.16</v>
      </c>
      <c r="Q104" s="43">
        <f t="shared" si="239"/>
        <v>7282.6100000000006</v>
      </c>
      <c r="R104" s="19">
        <f t="shared" si="229"/>
        <v>-16669.84</v>
      </c>
      <c r="S104" s="17">
        <v>3500</v>
      </c>
      <c r="T104" s="18">
        <v>2125.4499999999998</v>
      </c>
      <c r="U104" s="43">
        <v>2363.5300000000002</v>
      </c>
      <c r="V104" s="19">
        <f t="shared" si="230"/>
        <v>-1374.5500000000002</v>
      </c>
      <c r="W104" s="17">
        <v>3500</v>
      </c>
      <c r="X104" s="18">
        <v>2603.0300000000002</v>
      </c>
      <c r="Y104" s="37">
        <v>2125.4499999999998</v>
      </c>
      <c r="Z104" s="18">
        <f t="shared" si="205"/>
        <v>-896.9699999999998</v>
      </c>
      <c r="AA104" s="83">
        <v>4000</v>
      </c>
      <c r="AB104" s="18">
        <v>4044.79</v>
      </c>
      <c r="AC104" s="43">
        <v>2603.0300000000002</v>
      </c>
      <c r="AD104" s="19">
        <f t="shared" si="206"/>
        <v>44.789999999999964</v>
      </c>
      <c r="AE104" s="17">
        <f t="shared" si="240"/>
        <v>11000</v>
      </c>
      <c r="AF104" s="18">
        <f t="shared" si="240"/>
        <v>8773.27</v>
      </c>
      <c r="AG104" s="18">
        <f t="shared" si="240"/>
        <v>7092.01</v>
      </c>
      <c r="AH104" s="19">
        <f t="shared" si="194"/>
        <v>-2226.7299999999996</v>
      </c>
      <c r="AI104" s="17">
        <f t="shared" si="241"/>
        <v>35000</v>
      </c>
      <c r="AJ104" s="18">
        <f t="shared" si="241"/>
        <v>16103.43</v>
      </c>
      <c r="AK104" s="18">
        <f t="shared" si="241"/>
        <v>14374.62</v>
      </c>
      <c r="AL104" s="19">
        <f t="shared" si="162"/>
        <v>-18896.57</v>
      </c>
      <c r="AM104" s="17">
        <v>5000</v>
      </c>
      <c r="AN104" s="18">
        <v>3504.35</v>
      </c>
      <c r="AO104" s="18">
        <v>4044.79</v>
      </c>
      <c r="AP104" s="20">
        <f t="shared" si="207"/>
        <v>-1495.65</v>
      </c>
      <c r="AQ104" s="17">
        <v>5000</v>
      </c>
      <c r="AR104" s="43">
        <v>3580.45</v>
      </c>
      <c r="AS104" s="43">
        <v>3504.35</v>
      </c>
      <c r="AT104" s="20">
        <f t="shared" si="208"/>
        <v>-1419.5500000000002</v>
      </c>
      <c r="AU104" s="17">
        <v>5000</v>
      </c>
      <c r="AV104" s="18">
        <v>4103.1499999999996</v>
      </c>
      <c r="AW104" s="43">
        <v>3580.45</v>
      </c>
      <c r="AX104" s="20">
        <f t="shared" si="209"/>
        <v>-896.85000000000036</v>
      </c>
      <c r="AY104" s="17">
        <f t="shared" si="242"/>
        <v>15000</v>
      </c>
      <c r="AZ104" s="18">
        <f t="shared" si="242"/>
        <v>11187.949999999999</v>
      </c>
      <c r="BA104" s="18">
        <f t="shared" si="242"/>
        <v>11129.59</v>
      </c>
      <c r="BB104" s="19">
        <f t="shared" si="211"/>
        <v>-3812.0500000000011</v>
      </c>
      <c r="BC104" s="190">
        <f t="shared" si="243"/>
        <v>50000</v>
      </c>
      <c r="BD104" s="84">
        <f t="shared" si="243"/>
        <v>27291.379999999997</v>
      </c>
      <c r="BE104" s="84">
        <f t="shared" si="243"/>
        <v>25504.21</v>
      </c>
      <c r="BF104" s="170">
        <f t="shared" si="213"/>
        <v>-22708.620000000003</v>
      </c>
      <c r="BG104" s="83">
        <v>10000</v>
      </c>
      <c r="BH104" s="18">
        <v>4219.79</v>
      </c>
      <c r="BI104" s="43">
        <v>4103.1499999999996</v>
      </c>
      <c r="BJ104" s="41">
        <f t="shared" si="214"/>
        <v>-5780.21</v>
      </c>
      <c r="BK104" s="44">
        <v>10000</v>
      </c>
      <c r="BL104" s="43">
        <v>3464.78</v>
      </c>
      <c r="BM104" s="43">
        <v>4219.79</v>
      </c>
      <c r="BN104" s="41">
        <f t="shared" si="215"/>
        <v>-6535.2199999999993</v>
      </c>
      <c r="BO104" s="44">
        <v>10000</v>
      </c>
      <c r="BP104" s="43">
        <v>3596.64</v>
      </c>
      <c r="BQ104" s="43">
        <v>3464.78</v>
      </c>
      <c r="BR104" s="41">
        <f t="shared" si="216"/>
        <v>-6403.3600000000006</v>
      </c>
      <c r="BS104" s="17">
        <f t="shared" si="244"/>
        <v>30000</v>
      </c>
      <c r="BT104" s="18">
        <f t="shared" si="244"/>
        <v>11281.21</v>
      </c>
      <c r="BU104" s="18">
        <f t="shared" si="244"/>
        <v>11787.72</v>
      </c>
      <c r="BV104" s="20">
        <f t="shared" si="218"/>
        <v>-18718.79</v>
      </c>
      <c r="BW104" s="17">
        <f t="shared" si="245"/>
        <v>45000</v>
      </c>
      <c r="BX104" s="18">
        <f t="shared" si="245"/>
        <v>22469.159999999996</v>
      </c>
      <c r="BY104" s="18">
        <f t="shared" si="245"/>
        <v>22917.309999999998</v>
      </c>
      <c r="BZ104" s="20">
        <f t="shared" si="220"/>
        <v>-22530.840000000004</v>
      </c>
      <c r="CA104" s="17">
        <f t="shared" si="246"/>
        <v>80000</v>
      </c>
      <c r="CB104" s="18">
        <f t="shared" si="246"/>
        <v>38572.589999999997</v>
      </c>
      <c r="CC104" s="18">
        <f t="shared" si="246"/>
        <v>37291.93</v>
      </c>
      <c r="CD104" s="20">
        <f t="shared" si="222"/>
        <v>-41427.410000000003</v>
      </c>
      <c r="CG104" s="93"/>
      <c r="CH104" s="93"/>
      <c r="CJ104" s="91">
        <f t="shared" si="247"/>
        <v>30000</v>
      </c>
      <c r="CK104" s="91">
        <f t="shared" si="247"/>
        <v>11281.21</v>
      </c>
      <c r="CL104" s="91">
        <f t="shared" si="247"/>
        <v>11787.72</v>
      </c>
      <c r="CM104" s="91">
        <f t="shared" si="247"/>
        <v>-18718.79</v>
      </c>
      <c r="CN104" s="91">
        <f t="shared" si="236"/>
        <v>80000</v>
      </c>
      <c r="CO104" s="91">
        <f t="shared" si="236"/>
        <v>38572.589999999997</v>
      </c>
      <c r="CP104" s="91">
        <f t="shared" si="236"/>
        <v>37291.93</v>
      </c>
      <c r="CQ104" s="91">
        <f t="shared" si="236"/>
        <v>-41427.410000000003</v>
      </c>
    </row>
    <row r="105" spans="1:95" ht="16.5" x14ac:dyDescent="0.3">
      <c r="A105" s="9"/>
      <c r="B105" s="28" t="s">
        <v>159</v>
      </c>
      <c r="C105" s="168"/>
      <c r="D105" s="18"/>
      <c r="E105" s="43"/>
      <c r="F105" s="170">
        <f t="shared" si="225"/>
        <v>0</v>
      </c>
      <c r="G105" s="83"/>
      <c r="H105" s="43"/>
      <c r="I105" s="43"/>
      <c r="J105" s="19">
        <f t="shared" si="226"/>
        <v>0</v>
      </c>
      <c r="K105" s="17"/>
      <c r="L105" s="43"/>
      <c r="M105" s="43"/>
      <c r="N105" s="19"/>
      <c r="O105" s="17"/>
      <c r="P105" s="43"/>
      <c r="Q105" s="43">
        <f t="shared" si="239"/>
        <v>0</v>
      </c>
      <c r="R105" s="19"/>
      <c r="S105" s="17"/>
      <c r="T105" s="18"/>
      <c r="U105" s="43"/>
      <c r="V105" s="19"/>
      <c r="W105" s="17"/>
      <c r="X105" s="18"/>
      <c r="Y105" s="37"/>
      <c r="Z105" s="18"/>
      <c r="AA105" s="83"/>
      <c r="AB105" s="18"/>
      <c r="AC105" s="43"/>
      <c r="AD105" s="19"/>
      <c r="AE105" s="17"/>
      <c r="AF105" s="18">
        <f t="shared" si="240"/>
        <v>0</v>
      </c>
      <c r="AG105" s="18">
        <f t="shared" si="240"/>
        <v>0</v>
      </c>
      <c r="AH105" s="19"/>
      <c r="AI105" s="17"/>
      <c r="AJ105" s="18">
        <f t="shared" si="241"/>
        <v>0</v>
      </c>
      <c r="AK105" s="18">
        <f t="shared" si="241"/>
        <v>0</v>
      </c>
      <c r="AL105" s="19"/>
      <c r="AM105" s="17"/>
      <c r="AN105" s="18">
        <f>336.07+336.07+1008.2+321.54+321.54+321.54+321.54+321.54+321.54+321.54-609.38</f>
        <v>3321.74</v>
      </c>
      <c r="AO105" s="18">
        <v>3931.12</v>
      </c>
      <c r="AP105" s="20"/>
      <c r="AQ105" s="17"/>
      <c r="AR105" s="43"/>
      <c r="AS105" s="43"/>
      <c r="AT105" s="20"/>
      <c r="AU105" s="17"/>
      <c r="AV105" s="18"/>
      <c r="AW105" s="43">
        <f>-930.92+321.54</f>
        <v>-609.37999999999988</v>
      </c>
      <c r="AX105" s="20"/>
      <c r="AY105" s="17"/>
      <c r="AZ105" s="18">
        <f t="shared" si="242"/>
        <v>3321.74</v>
      </c>
      <c r="BA105" s="18">
        <f t="shared" si="242"/>
        <v>3321.74</v>
      </c>
      <c r="BB105" s="19"/>
      <c r="BC105" s="190"/>
      <c r="BD105" s="84">
        <f t="shared" si="243"/>
        <v>3321.74</v>
      </c>
      <c r="BE105" s="84">
        <f t="shared" si="243"/>
        <v>3321.74</v>
      </c>
      <c r="BF105" s="170"/>
      <c r="BG105" s="83"/>
      <c r="BH105" s="18">
        <v>321.54000000000002</v>
      </c>
      <c r="BI105" s="43"/>
      <c r="BJ105" s="41"/>
      <c r="BK105" s="44"/>
      <c r="BL105" s="43">
        <v>321.54000000000002</v>
      </c>
      <c r="BM105" s="43"/>
      <c r="BN105" s="41"/>
      <c r="BO105" s="44"/>
      <c r="BP105" s="43">
        <f>321.54+321.54</f>
        <v>643.08000000000004</v>
      </c>
      <c r="BQ105" s="43">
        <v>1286.1600000000001</v>
      </c>
      <c r="BR105" s="41"/>
      <c r="BS105" s="17"/>
      <c r="BT105" s="18">
        <f t="shared" si="244"/>
        <v>1286.1600000000001</v>
      </c>
      <c r="BU105" s="18">
        <f t="shared" si="244"/>
        <v>1286.1600000000001</v>
      </c>
      <c r="BV105" s="20"/>
      <c r="BW105" s="17"/>
      <c r="BX105" s="18">
        <f t="shared" si="245"/>
        <v>4607.8999999999996</v>
      </c>
      <c r="BY105" s="18">
        <f t="shared" si="245"/>
        <v>4607.8999999999996</v>
      </c>
      <c r="BZ105" s="20">
        <f t="shared" si="220"/>
        <v>4607.8999999999996</v>
      </c>
      <c r="CA105" s="17"/>
      <c r="CB105" s="18">
        <f t="shared" si="246"/>
        <v>4607.8999999999996</v>
      </c>
      <c r="CC105" s="18">
        <f t="shared" si="246"/>
        <v>4607.8999999999996</v>
      </c>
      <c r="CD105" s="20">
        <f t="shared" si="222"/>
        <v>4607.8999999999996</v>
      </c>
      <c r="CG105" s="93"/>
      <c r="CH105" s="93"/>
      <c r="CJ105" s="91">
        <f t="shared" si="247"/>
        <v>0</v>
      </c>
      <c r="CK105" s="91">
        <f t="shared" si="247"/>
        <v>1286.1600000000001</v>
      </c>
      <c r="CL105" s="91">
        <f t="shared" si="247"/>
        <v>1286.1600000000001</v>
      </c>
      <c r="CM105" s="91">
        <f t="shared" si="247"/>
        <v>0</v>
      </c>
      <c r="CN105" s="91">
        <f t="shared" si="236"/>
        <v>0</v>
      </c>
      <c r="CO105" s="91">
        <f t="shared" si="236"/>
        <v>4607.8999999999996</v>
      </c>
      <c r="CP105" s="91">
        <f t="shared" si="236"/>
        <v>4607.8999999999996</v>
      </c>
      <c r="CQ105" s="91">
        <f t="shared" si="236"/>
        <v>0</v>
      </c>
    </row>
    <row r="106" spans="1:95" ht="19.5" customHeight="1" x14ac:dyDescent="0.3">
      <c r="A106" s="9">
        <v>4.3</v>
      </c>
      <c r="B106" s="39" t="s">
        <v>163</v>
      </c>
      <c r="C106" s="168">
        <v>5000</v>
      </c>
      <c r="D106" s="31"/>
      <c r="E106" s="95"/>
      <c r="F106" s="170">
        <f t="shared" si="225"/>
        <v>-5000</v>
      </c>
      <c r="G106" s="89">
        <v>5000</v>
      </c>
      <c r="H106" s="18"/>
      <c r="I106" s="43"/>
      <c r="J106" s="19">
        <f t="shared" si="226"/>
        <v>-5000</v>
      </c>
      <c r="K106" s="25">
        <v>5000</v>
      </c>
      <c r="L106" s="18"/>
      <c r="M106" s="43"/>
      <c r="N106" s="19">
        <f t="shared" ref="N106:N130" si="248">L106-K106</f>
        <v>-5000</v>
      </c>
      <c r="O106" s="17">
        <f t="shared" ref="O106:O131" si="249">C106+G106+K106</f>
        <v>15000</v>
      </c>
      <c r="P106" s="43">
        <f t="shared" ref="P106:Q130" si="250">L106+H106+D106</f>
        <v>0</v>
      </c>
      <c r="Q106" s="43">
        <f t="shared" si="250"/>
        <v>0</v>
      </c>
      <c r="R106" s="19">
        <f t="shared" ref="R106:R131" si="251">P106-O106</f>
        <v>-15000</v>
      </c>
      <c r="S106" s="17">
        <v>5000</v>
      </c>
      <c r="T106" s="18"/>
      <c r="U106" s="43"/>
      <c r="V106" s="19">
        <f t="shared" ref="V106:V130" si="252">T106-S106</f>
        <v>-5000</v>
      </c>
      <c r="W106" s="25">
        <v>5000</v>
      </c>
      <c r="X106" s="18"/>
      <c r="Y106" s="37"/>
      <c r="Z106" s="18">
        <f t="shared" ref="Z106:Z130" si="253">X106-W106</f>
        <v>-5000</v>
      </c>
      <c r="AA106" s="89">
        <v>5000</v>
      </c>
      <c r="AB106" s="31"/>
      <c r="AC106" s="95"/>
      <c r="AD106" s="19">
        <f t="shared" ref="AD106:AD130" si="254">AB106-AA106</f>
        <v>-5000</v>
      </c>
      <c r="AE106" s="17">
        <f>S106+W106+AA106</f>
        <v>15000</v>
      </c>
      <c r="AF106" s="18">
        <f>T106+X106+AB106</f>
        <v>0</v>
      </c>
      <c r="AG106" s="18">
        <f>U106+Y106+AC106</f>
        <v>0</v>
      </c>
      <c r="AH106" s="19">
        <f t="shared" ref="AH106:AH130" si="255">AF106-AE106</f>
        <v>-15000</v>
      </c>
      <c r="AI106" s="17">
        <f>AE106+O106</f>
        <v>30000</v>
      </c>
      <c r="AJ106" s="18">
        <f>AF106+P106</f>
        <v>0</v>
      </c>
      <c r="AK106" s="18">
        <f>AG106+Q106</f>
        <v>0</v>
      </c>
      <c r="AL106" s="19">
        <f t="shared" ref="AL106:AL130" si="256">AJ106-AI106</f>
        <v>-30000</v>
      </c>
      <c r="AM106" s="25">
        <v>1000</v>
      </c>
      <c r="AN106" s="31"/>
      <c r="AO106" s="31"/>
      <c r="AP106" s="20">
        <f t="shared" ref="AP106:AP128" si="257">AN106-AM106</f>
        <v>-1000</v>
      </c>
      <c r="AQ106" s="25">
        <v>1000</v>
      </c>
      <c r="AR106" s="95"/>
      <c r="AS106" s="95"/>
      <c r="AT106" s="20">
        <f t="shared" ref="AT106:AT130" si="258">AR106-AQ106</f>
        <v>-1000</v>
      </c>
      <c r="AU106" s="25">
        <v>1000</v>
      </c>
      <c r="AV106" s="31"/>
      <c r="AW106" s="95"/>
      <c r="AX106" s="20">
        <f t="shared" ref="AX106:AX130" si="259">AV106-AU106</f>
        <v>-1000</v>
      </c>
      <c r="AY106" s="17">
        <f>AM106+AQ106+AU106</f>
        <v>3000</v>
      </c>
      <c r="AZ106" s="18">
        <f>AN106+AR106+AV106</f>
        <v>0</v>
      </c>
      <c r="BA106" s="18">
        <f>AO106+AS106+AW106</f>
        <v>0</v>
      </c>
      <c r="BB106" s="19">
        <f t="shared" ref="BB106:BB130" si="260">AZ106-AY106</f>
        <v>-3000</v>
      </c>
      <c r="BC106" s="190">
        <f t="shared" ref="BC106:BE130" si="261">(AI106+AY106)</f>
        <v>33000</v>
      </c>
      <c r="BD106" s="84">
        <f t="shared" si="261"/>
        <v>0</v>
      </c>
      <c r="BE106" s="84">
        <f t="shared" si="261"/>
        <v>0</v>
      </c>
      <c r="BF106" s="170">
        <f t="shared" ref="BF106:BF130" si="262">BD106-BC106</f>
        <v>-33000</v>
      </c>
      <c r="BG106" s="89">
        <v>1000</v>
      </c>
      <c r="BH106" s="31"/>
      <c r="BI106" s="95"/>
      <c r="BJ106" s="41">
        <f t="shared" ref="BJ106:BJ130" si="263">BH106-BG106</f>
        <v>-1000</v>
      </c>
      <c r="BK106" s="90">
        <v>1000</v>
      </c>
      <c r="BL106" s="43"/>
      <c r="BM106" s="43"/>
      <c r="BN106" s="27">
        <f t="shared" ref="BN106:BN130" si="264">BL106-BK106</f>
        <v>-1000</v>
      </c>
      <c r="BO106" s="90">
        <v>1000</v>
      </c>
      <c r="BP106" s="95"/>
      <c r="BQ106" s="95"/>
      <c r="BR106" s="41">
        <f t="shared" ref="BR106:BR130" si="265">BP106-BO106</f>
        <v>-1000</v>
      </c>
      <c r="BS106" s="17">
        <f>BG106+BK106+BO106</f>
        <v>3000</v>
      </c>
      <c r="BT106" s="18">
        <f>BH106+BL106+BP106</f>
        <v>0</v>
      </c>
      <c r="BU106" s="18">
        <f>BI106+BM106+BQ106</f>
        <v>0</v>
      </c>
      <c r="BV106" s="20">
        <f t="shared" ref="BV106:BV130" si="266">BT106-BS106</f>
        <v>-3000</v>
      </c>
      <c r="BW106" s="17">
        <f>BS106+AY106</f>
        <v>6000</v>
      </c>
      <c r="BX106" s="18">
        <f>BT106+AZ106</f>
        <v>0</v>
      </c>
      <c r="BY106" s="18">
        <f>BU106+BA106</f>
        <v>0</v>
      </c>
      <c r="BZ106" s="20">
        <f t="shared" ref="BZ106:BZ130" si="267">BX106-BW106</f>
        <v>-6000</v>
      </c>
      <c r="CA106" s="17">
        <f>BW106+AI106</f>
        <v>36000</v>
      </c>
      <c r="CB106" s="18">
        <f>BX106+AJ106</f>
        <v>0</v>
      </c>
      <c r="CC106" s="18">
        <f>BY106+AK106</f>
        <v>0</v>
      </c>
      <c r="CD106" s="20">
        <f t="shared" ref="CD106:CD130" si="268">CB106-CA106</f>
        <v>-36000</v>
      </c>
      <c r="CG106" s="93"/>
      <c r="CH106" s="93"/>
      <c r="CJ106" s="91">
        <f t="shared" si="247"/>
        <v>3000</v>
      </c>
      <c r="CK106" s="91">
        <f t="shared" si="247"/>
        <v>0</v>
      </c>
      <c r="CL106" s="91">
        <f t="shared" si="247"/>
        <v>0</v>
      </c>
      <c r="CM106" s="91">
        <f t="shared" si="247"/>
        <v>-3000</v>
      </c>
      <c r="CN106" s="91">
        <f t="shared" si="236"/>
        <v>36000</v>
      </c>
      <c r="CO106" s="91">
        <f t="shared" si="236"/>
        <v>0</v>
      </c>
      <c r="CP106" s="91">
        <f t="shared" si="236"/>
        <v>0</v>
      </c>
      <c r="CQ106" s="91">
        <f t="shared" si="236"/>
        <v>-36000</v>
      </c>
    </row>
    <row r="107" spans="1:95" ht="16.5" x14ac:dyDescent="0.3">
      <c r="A107" s="9">
        <v>5</v>
      </c>
      <c r="B107" s="33" t="s">
        <v>102</v>
      </c>
      <c r="C107" s="168">
        <f>C108+C109+C110+C111+C112+C116+C117+C118+C119+C120+C121+C122+C123+C124+C125+C126+C128+C127</f>
        <v>62166</v>
      </c>
      <c r="D107" s="31">
        <f>D108+D109+D110+D111+D112+D116+D117+D118+D119+D120+D121+D122+D123+D124+D125+D126+D128+D127</f>
        <v>71643.78</v>
      </c>
      <c r="E107" s="95">
        <f>E108+E109+E110+E111+E112+E116+E117+E118+E119+E120+E121+E122+E123+E124+E125+E126+E128+E127</f>
        <v>78296.87999999999</v>
      </c>
      <c r="F107" s="170">
        <f t="shared" si="225"/>
        <v>9477.7799999999988</v>
      </c>
      <c r="G107" s="89">
        <f>G108+G109+G110+G111+G112+G116+G117+G118+G119+G120+G121+G122+G123+G124+G125+G126+G128+G127</f>
        <v>62166</v>
      </c>
      <c r="H107" s="31">
        <f>H108+H109+H110+H111+H112+H116+H117+H118+H119+H120+H121+H122+H123+H124+H125+H126+H128+H127</f>
        <v>84418.5</v>
      </c>
      <c r="I107" s="95">
        <f>I108+I109+I110+I111+I112+I116+I117+I118+I119+I120+I121+I122+I123+I124+I125+I126+I128+I127</f>
        <v>75684.929999999993</v>
      </c>
      <c r="J107" s="19">
        <f t="shared" si="226"/>
        <v>22252.5</v>
      </c>
      <c r="K107" s="31">
        <f>K108+K109+K110+K111+K112+K116+K117+K118+K119+K120+K121+K122+K123+K124+K125+K126+K128+K127</f>
        <v>62166</v>
      </c>
      <c r="L107" s="31">
        <f>L108+L109+L110+L111+L112+L116+L117+L118+L119+L120+L121+L122+L123+L124+L125+L126+L128+L127</f>
        <v>54974.259999999995</v>
      </c>
      <c r="M107" s="95">
        <f>M108+M109+M110+M111+M112+M116+M117+M118+M119+M120+M121+M122+M123+M124+M125+M126+M128+M127</f>
        <v>57400.2</v>
      </c>
      <c r="N107" s="30">
        <f t="shared" si="248"/>
        <v>-7191.7400000000052</v>
      </c>
      <c r="O107" s="95">
        <f t="shared" ref="O107" si="269">K107+G107+C107</f>
        <v>186498</v>
      </c>
      <c r="P107" s="95">
        <f t="shared" si="250"/>
        <v>211036.54</v>
      </c>
      <c r="Q107" s="95">
        <f t="shared" si="250"/>
        <v>211382.01</v>
      </c>
      <c r="R107" s="30">
        <f t="shared" si="251"/>
        <v>24538.540000000008</v>
      </c>
      <c r="S107" s="31">
        <f>S108+S109+S110+S111+S112+S116+S117+S118+S119+S120+S121+S122+S123+S124+S125+S126+S128+S127</f>
        <v>52166</v>
      </c>
      <c r="T107" s="31">
        <f>T108+T109+T110+T111+T112+T116+T117+T118+T119+T120+T121+T122+T123+T124+T125+T126+T128+T127</f>
        <v>56473.67</v>
      </c>
      <c r="U107" s="95">
        <f>U108+U109+U110+U111+U112+U116+U117+U118+U119+U120+U121+U122+U123+U124+U125+U126+U128+U127</f>
        <v>40767.729999999996</v>
      </c>
      <c r="V107" s="30">
        <f t="shared" si="252"/>
        <v>4307.6699999999983</v>
      </c>
      <c r="W107" s="31">
        <f>W108+W109+W110+W111+W112+W116+W117+W118+W119+W120+W121+W122+W123+W124+W125+W126+W128+W127</f>
        <v>62166</v>
      </c>
      <c r="X107" s="31">
        <f>X108+X109+X110+X111+X112+X116+X117+X118+X119+X120+X121+X122+X123+X124+X125+X126+X128+X127</f>
        <v>135204</v>
      </c>
      <c r="Y107" s="40">
        <f>Y108+Y109+Y110+Y111+Y112+Y116+Y117+Y118+Y119+Y120+Y121+Y122+Y123+Y124+Y125+Y126+Y128+Y127</f>
        <v>158343.6</v>
      </c>
      <c r="Z107" s="31">
        <f t="shared" si="253"/>
        <v>73038</v>
      </c>
      <c r="AA107" s="89">
        <f>AA108+AA109+AA110+AA111+AA112+AA116+AA117+AA118+AA119+AA120+AA121+AA122+AA123+AA124+AA125+AA126+AA128+AA127</f>
        <v>62166</v>
      </c>
      <c r="AB107" s="31">
        <f>AB108+AB109+AB110+AB111+AB112+AB116+AB117+AB118+AB119+AB120+AB121+AB122+AB123+AB124+AB125+AB126+AB128+AB127</f>
        <v>50919.740000000005</v>
      </c>
      <c r="AC107" s="95">
        <f>AC108+AC109+AC110+AC111+AC112+AC116+AC117+AC118+AC119+AC120+AC121+AC122+AC123+AC124+AC125+AC126+AC128+AC127</f>
        <v>43917.62</v>
      </c>
      <c r="AD107" s="30">
        <f t="shared" si="254"/>
        <v>-11246.259999999995</v>
      </c>
      <c r="AE107" s="25">
        <f>AE108+AE109+AE110+AE111+AE112+AE116+AE117+AE118+AE119+AE120+AE121+AE122+AE123+AE124+AE125+AE126+AE128+AE127</f>
        <v>176498</v>
      </c>
      <c r="AF107" s="31">
        <f>AF108+AF109+AF110+AF111+AF112+AF116+AF117+AF118+AF119+AF120+AF121+AF122+AF123+AF124+AF125+AF126+AF128+AF127</f>
        <v>242597.41000000003</v>
      </c>
      <c r="AG107" s="31">
        <f>AG108+AG109+AG110+AG111+AG112+AG116+AG117+AG118+AG119+AG120+AG121+AG122+AG123+AG124+AG125+AG126+AG128+AG127</f>
        <v>243028.95000000004</v>
      </c>
      <c r="AH107" s="19">
        <f t="shared" si="255"/>
        <v>66099.410000000033</v>
      </c>
      <c r="AI107" s="25">
        <f>AI108+AI109+AI110+AI111+AI112+AI116+AI117+AI118+AI119+AI120+AI121+AI122+AI123+AI124+AI125+AI126+AI128+AI127</f>
        <v>362996</v>
      </c>
      <c r="AJ107" s="31">
        <f>AJ108+AJ109+AJ110+AJ111+AJ112+AJ116+AJ117+AJ118+AJ119+AJ120+AJ121+AJ122+AJ123+AJ124+AJ125+AJ126+AJ128+AJ127</f>
        <v>453633.95</v>
      </c>
      <c r="AK107" s="31">
        <f>AK108+AK109+AK110+AK111+AK112+AK116+AK117+AK118+AK119+AK120+AK121+AK122+AK123+AK124+AK125+AK126+AK128+AK127</f>
        <v>454410.96</v>
      </c>
      <c r="AL107" s="30">
        <f t="shared" si="256"/>
        <v>90637.950000000012</v>
      </c>
      <c r="AM107" s="25">
        <f>AM108+AM109+AM110+AM111+AM112+AM116+AM117+AM118+AM119+AM120+AM121+AM122+AM123+AM124+AM125+AM126+AM127+AM128</f>
        <v>65166</v>
      </c>
      <c r="AN107" s="31">
        <f>AN108+AN109+AN110+AN111+AN112+AN116+AN117+AN118+AN119+AN120+AN121+AN122+AN123+AN124+AN125+AN126+AN128+AN127</f>
        <v>52395.509999999995</v>
      </c>
      <c r="AO107" s="31">
        <f>AO108+AO109+AO110+AO111+AO112+AO116+AO117+AO118+AO119+AO120+AO121+AO122+AO123+AO124+AO125+AO126+AO128+AO127</f>
        <v>50017.979999999996</v>
      </c>
      <c r="AP107" s="32">
        <f t="shared" si="257"/>
        <v>-12770.490000000005</v>
      </c>
      <c r="AQ107" s="25">
        <f>AQ108+AQ109+AQ110+AQ111+AQ112+AQ116+AQ117+AQ118+AQ119+AQ120+AQ121+AQ122+AQ123+AQ124+AQ125+AQ126+AQ128+AQ127</f>
        <v>60166</v>
      </c>
      <c r="AR107" s="95">
        <f>AR108+AR109+AR110+AR111+AR112+AR116+AR117+AR118+AR119+AR120+AR121+AR122+AR123+AR124+AR125+AR126+AR128+AR127</f>
        <v>65743.67</v>
      </c>
      <c r="AS107" s="95">
        <f>AS108+AS109+AS110+AS111+AS112+AS116+AS117+AS118+AS119+AS120+AS121+AS122+AS123+AS124+AS125+AS126+AS128+AS127</f>
        <v>66856.38</v>
      </c>
      <c r="AT107" s="32">
        <f t="shared" si="258"/>
        <v>5577.6699999999983</v>
      </c>
      <c r="AU107" s="25">
        <f>AU108+AU109+AU110+AU111+AU112+AU116+AU117+AU118+AU119+AU120+AU121+AU122+AU123+AU124+AU125+AU126+AU128+AU127</f>
        <v>50166</v>
      </c>
      <c r="AV107" s="31">
        <f>AV108+AV109+AV110+AV111+AV112+AV116+AV117+AV118+AV119+AV120+AV121+AV122+AV123+AV124+AV125+AV126+AV128+AV127</f>
        <v>59414.2</v>
      </c>
      <c r="AW107" s="95">
        <f>AW108+AW109+AW110+AW111+AW112+AW116+AW117+AW118+AW119+AW120+AW121+AW122+AW123+AW124+AW125+AW126+AW128+AW127</f>
        <v>49314.280000000006</v>
      </c>
      <c r="AX107" s="32">
        <f t="shared" si="259"/>
        <v>9248.1999999999971</v>
      </c>
      <c r="AY107" s="25">
        <f>AY108+AY109+AY110+AY111+AY112+AY116+AY117+AY118+AY119+AY120+AY121+AY122+AY123+AY124+AY125+AY126+AY128+AY127</f>
        <v>175498</v>
      </c>
      <c r="AZ107" s="31">
        <f>AZ108+AZ109+AZ110+AZ111+AZ112+AZ116+AZ117+AZ118+AZ119+AZ120+AZ121+AZ122+AZ123+AZ124+AZ125+AZ126+AZ127+AZ128</f>
        <v>177553.38</v>
      </c>
      <c r="BA107" s="31">
        <f>BA108+BA109+BA110+BA111+BA112+BA116+BA117+BA118+BA119+BA120+BA121+BA122+BA123+BA124+BA125+BA126+BA127+BA128</f>
        <v>166188.64000000001</v>
      </c>
      <c r="BB107" s="30">
        <f t="shared" si="260"/>
        <v>2055.3800000000047</v>
      </c>
      <c r="BC107" s="191">
        <f t="shared" si="261"/>
        <v>538494</v>
      </c>
      <c r="BD107" s="96">
        <f t="shared" si="261"/>
        <v>631187.33000000007</v>
      </c>
      <c r="BE107" s="96">
        <f t="shared" si="261"/>
        <v>620599.60000000009</v>
      </c>
      <c r="BF107" s="178">
        <f t="shared" si="262"/>
        <v>92693.330000000075</v>
      </c>
      <c r="BG107" s="89">
        <f>BG108+BG109+BG110+BG111+BG112+BG116+BG117+BG118+BG119+BG120+BG121+BG122+BG123+BG124+BG125+BG126+BG128+BG127</f>
        <v>60166</v>
      </c>
      <c r="BH107" s="25">
        <f>BH108+BH109+BH110+BH111+BH112+BH116+BH117+BH118+BH119+BH120+BH121+BH122+BH123+BH124+BH125+BH126+BH128+BH127</f>
        <v>30606.39</v>
      </c>
      <c r="BI107" s="95">
        <f>BI108+BI109+BI111+BI112+BI114+BI115+BI116+BI117+BI118+BI119+BI120+BI121+BI123+BI124+BI125+BI126+BI127+BI128</f>
        <v>29980.230000000003</v>
      </c>
      <c r="BJ107" s="27">
        <f t="shared" si="263"/>
        <v>-29559.61</v>
      </c>
      <c r="BK107" s="90">
        <f>BK108+BK109+BK110+BK111+BK112+BK116+BK117+BK118+BK119+BK120+BK121+BK122+BK123+BK124+BK125+BK126+BK128+BK127</f>
        <v>60166</v>
      </c>
      <c r="BL107" s="95">
        <f>BL108+BL109+BL111+BL112+BL114+BL115+BL116+BL117+BL118+BL119+BL120+BL121+BL123+BL124+BL125+BL126+BL127+BL128</f>
        <v>101705.86</v>
      </c>
      <c r="BM107" s="95">
        <f>BM108+BM109+BM111+BM112+BM116+BM117+BM118+BM119+BM120+BM121+BM123+BM124+BM125+BM126+BM127+BM128</f>
        <v>113233.70999999999</v>
      </c>
      <c r="BN107" s="27">
        <f t="shared" si="264"/>
        <v>41539.86</v>
      </c>
      <c r="BO107" s="90">
        <f>BO108+BO109+BO110+BO111+BO112+BO116+BO117+BO118+BO119+BO120+BO121+BO122+BO123+BO124+BO125+BO126+BO128+BO127</f>
        <v>63166</v>
      </c>
      <c r="BP107" s="95">
        <f>BP108+BP109+BP111+BP112+BP114+BP115+BP116+BP117+BP118+BP119+BP120+BP121+BP123+BP124+BP125+BP126+BP127+BP128</f>
        <v>175626.52999999997</v>
      </c>
      <c r="BQ107" s="95">
        <f>BQ108+BQ109+BQ110+BQ111+BQ112+BQ116+BQ117+BQ118+BQ119+BQ120+BQ121+BQ122+BQ123+BQ124+BQ125+BQ126+BQ127+BQ128</f>
        <v>192403.52999999997</v>
      </c>
      <c r="BR107" s="27">
        <f t="shared" si="265"/>
        <v>112460.52999999997</v>
      </c>
      <c r="BS107" s="25">
        <f t="shared" ref="BS107:BU130" si="270">BG107+BK107+BO107</f>
        <v>183498</v>
      </c>
      <c r="BT107" s="31">
        <f t="shared" si="270"/>
        <v>307938.77999999997</v>
      </c>
      <c r="BU107" s="31">
        <f>BU108+BU109+BU110+BU111+BU112+BU116+BU117+BU118+BU119+BU120+BU121+BU122+BU123+BU124+BU125+BU126+BU127+BU128</f>
        <v>335617.47</v>
      </c>
      <c r="BV107" s="32">
        <f t="shared" si="266"/>
        <v>124440.77999999997</v>
      </c>
      <c r="BW107" s="25">
        <f t="shared" ref="BW107:BY130" si="271">BS107+AY107</f>
        <v>358996</v>
      </c>
      <c r="BX107" s="31">
        <f t="shared" si="271"/>
        <v>485492.16</v>
      </c>
      <c r="BY107" s="31">
        <f>BY108+BY109+BY110+BY111+BY112+BY116+BY117+BY118+BY119+BY120+BY121+BY122+BY123+BY124+BY125+BY126+BY127+BY128</f>
        <v>501806.10999999993</v>
      </c>
      <c r="BZ107" s="32">
        <f t="shared" si="267"/>
        <v>126496.15999999997</v>
      </c>
      <c r="CA107" s="95">
        <f>CA108+CA109+CA111+CA112+CA116+CA117+CA118+CA119+CA120+CA121+CA123+CA124+CA125+CA126+CA127+CA128</f>
        <v>721992</v>
      </c>
      <c r="CB107" s="31">
        <f>CB108+CB109+CB111+CB112+CB116+CB117+CB118+CB119+CB120+CB121+CB123+CB124+CB125+CB126+CB127+CB128</f>
        <v>945526.1100000001</v>
      </c>
      <c r="CC107" s="31">
        <f>CC108+CC109+CC111+CC112+CC116+CC117+CC118+CC119+CC120+CC121+CC123+CC124+CC125+CC126+CC127+CC128</f>
        <v>956217.07000000007</v>
      </c>
      <c r="CD107" s="32">
        <f t="shared" si="268"/>
        <v>223534.1100000001</v>
      </c>
      <c r="CG107" s="93"/>
      <c r="CH107" s="93"/>
      <c r="CJ107" s="208">
        <f>CJ108+CJ109+CJ110+CJ111+CJ112+CJ116+CJ117+CJ118+CJ119+CJ120+CJ121+CJ122+CJ123+CJ124+CJ125+CJ126+CJ127+CJ128</f>
        <v>183498</v>
      </c>
      <c r="CK107" s="208">
        <f>CK108+CK109+CK110+CK111+CK112+CK116+CK117+CK118+CK119+CK120+CK121+CK122+CK123+CK124+CK125+CK126+CK127+CK128</f>
        <v>307938.77999999997</v>
      </c>
      <c r="CL107" s="208">
        <f>CL108+CL109+CL110+CL111+CL112+CL116+CL117+CL118+CL119+CL120+CL121+CL122+CL123+CL124+CL125+CL126+CL127+CL128</f>
        <v>335617.47</v>
      </c>
      <c r="CM107" s="208">
        <f>CM108+CM109+CM110+CM111+CM112+CM116+CM117+CM118+CM119+CM120+CM121+CM122+CM123+CM124+CM125+CM126+CM127+CM128</f>
        <v>124440.78</v>
      </c>
      <c r="CN107" s="208">
        <f t="shared" si="236"/>
        <v>721992</v>
      </c>
      <c r="CO107" s="208">
        <f t="shared" si="236"/>
        <v>939126.1100000001</v>
      </c>
      <c r="CP107" s="208">
        <f t="shared" si="236"/>
        <v>956217.07000000007</v>
      </c>
      <c r="CQ107" s="208">
        <f t="shared" si="236"/>
        <v>217134.11000000004</v>
      </c>
    </row>
    <row r="108" spans="1:95" ht="16.5" x14ac:dyDescent="0.3">
      <c r="A108" s="49" t="s">
        <v>103</v>
      </c>
      <c r="B108" s="38" t="s">
        <v>104</v>
      </c>
      <c r="C108" s="174">
        <v>1200</v>
      </c>
      <c r="D108" s="18"/>
      <c r="E108" s="43"/>
      <c r="F108" s="170">
        <f t="shared" si="225"/>
        <v>-1200</v>
      </c>
      <c r="G108" s="83">
        <v>1200</v>
      </c>
      <c r="H108" s="18"/>
      <c r="I108" s="18"/>
      <c r="J108" s="19">
        <f t="shared" si="226"/>
        <v>-1200</v>
      </c>
      <c r="K108" s="17">
        <v>1200</v>
      </c>
      <c r="L108" s="18"/>
      <c r="M108" s="43"/>
      <c r="N108" s="19">
        <f t="shared" si="248"/>
        <v>-1200</v>
      </c>
      <c r="O108" s="17">
        <f t="shared" si="249"/>
        <v>3600</v>
      </c>
      <c r="P108" s="43">
        <f t="shared" si="250"/>
        <v>0</v>
      </c>
      <c r="Q108" s="43">
        <f t="shared" si="250"/>
        <v>0</v>
      </c>
      <c r="R108" s="19">
        <f t="shared" si="251"/>
        <v>-3600</v>
      </c>
      <c r="S108" s="17">
        <v>1200</v>
      </c>
      <c r="T108" s="18"/>
      <c r="U108" s="43"/>
      <c r="V108" s="19">
        <f t="shared" si="252"/>
        <v>-1200</v>
      </c>
      <c r="W108" s="17">
        <v>1200</v>
      </c>
      <c r="X108" s="18"/>
      <c r="Y108" s="37"/>
      <c r="Z108" s="18">
        <f t="shared" si="253"/>
        <v>-1200</v>
      </c>
      <c r="AA108" s="83">
        <v>1200</v>
      </c>
      <c r="AB108" s="18"/>
      <c r="AC108" s="43"/>
      <c r="AD108" s="19">
        <f t="shared" si="254"/>
        <v>-1200</v>
      </c>
      <c r="AE108" s="17">
        <f t="shared" ref="AE108:AG111" si="272">S108+W108+AA108</f>
        <v>3600</v>
      </c>
      <c r="AF108" s="18">
        <f t="shared" si="272"/>
        <v>0</v>
      </c>
      <c r="AG108" s="18">
        <f t="shared" si="272"/>
        <v>0</v>
      </c>
      <c r="AH108" s="19">
        <f t="shared" si="255"/>
        <v>-3600</v>
      </c>
      <c r="AI108" s="17">
        <f t="shared" ref="AI108:AK111" si="273">AE108+O108</f>
        <v>7200</v>
      </c>
      <c r="AJ108" s="18">
        <f t="shared" si="273"/>
        <v>0</v>
      </c>
      <c r="AK108" s="18">
        <f t="shared" si="273"/>
        <v>0</v>
      </c>
      <c r="AL108" s="19">
        <f t="shared" si="256"/>
        <v>-7200</v>
      </c>
      <c r="AM108" s="17">
        <v>1200</v>
      </c>
      <c r="AN108" s="18"/>
      <c r="AO108" s="18"/>
      <c r="AP108" s="20">
        <f t="shared" si="257"/>
        <v>-1200</v>
      </c>
      <c r="AQ108" s="17">
        <v>1200</v>
      </c>
      <c r="AR108" s="43"/>
      <c r="AS108" s="43"/>
      <c r="AT108" s="20">
        <f t="shared" si="258"/>
        <v>-1200</v>
      </c>
      <c r="AU108" s="17">
        <v>1200</v>
      </c>
      <c r="AV108" s="18"/>
      <c r="AW108" s="43"/>
      <c r="AX108" s="20">
        <f t="shared" si="259"/>
        <v>-1200</v>
      </c>
      <c r="AY108" s="17">
        <f t="shared" ref="AY108:BA111" si="274">AM108+AQ108+AU108</f>
        <v>3600</v>
      </c>
      <c r="AZ108" s="18">
        <f t="shared" si="274"/>
        <v>0</v>
      </c>
      <c r="BA108" s="18">
        <f t="shared" si="274"/>
        <v>0</v>
      </c>
      <c r="BB108" s="19">
        <f t="shared" si="260"/>
        <v>-3600</v>
      </c>
      <c r="BC108" s="194">
        <f t="shared" si="261"/>
        <v>10800</v>
      </c>
      <c r="BD108" s="124">
        <f t="shared" si="261"/>
        <v>0</v>
      </c>
      <c r="BE108" s="124">
        <f t="shared" si="261"/>
        <v>0</v>
      </c>
      <c r="BF108" s="170">
        <f t="shared" si="262"/>
        <v>-10800</v>
      </c>
      <c r="BG108" s="83">
        <v>1200</v>
      </c>
      <c r="BH108" s="18"/>
      <c r="BI108" s="43"/>
      <c r="BJ108" s="41">
        <f t="shared" si="263"/>
        <v>-1200</v>
      </c>
      <c r="BK108" s="44">
        <v>1200</v>
      </c>
      <c r="BL108" s="43"/>
      <c r="BM108" s="43"/>
      <c r="BN108" s="41">
        <f t="shared" si="264"/>
        <v>-1200</v>
      </c>
      <c r="BO108" s="44">
        <v>1200</v>
      </c>
      <c r="BP108" s="43"/>
      <c r="BQ108" s="43"/>
      <c r="BR108" s="41">
        <f t="shared" si="265"/>
        <v>-1200</v>
      </c>
      <c r="BS108" s="17">
        <f t="shared" si="270"/>
        <v>3600</v>
      </c>
      <c r="BT108" s="18">
        <f t="shared" si="270"/>
        <v>0</v>
      </c>
      <c r="BU108" s="18">
        <f t="shared" si="270"/>
        <v>0</v>
      </c>
      <c r="BV108" s="20">
        <f t="shared" si="266"/>
        <v>-3600</v>
      </c>
      <c r="BW108" s="17">
        <f t="shared" si="271"/>
        <v>7200</v>
      </c>
      <c r="BX108" s="18">
        <f t="shared" si="271"/>
        <v>0</v>
      </c>
      <c r="BY108" s="18">
        <f t="shared" si="271"/>
        <v>0</v>
      </c>
      <c r="BZ108" s="20">
        <f t="shared" si="267"/>
        <v>-7200</v>
      </c>
      <c r="CA108" s="17">
        <f t="shared" ref="CA108:CC111" si="275">BW108+AI108</f>
        <v>14400</v>
      </c>
      <c r="CB108" s="18">
        <f t="shared" si="275"/>
        <v>0</v>
      </c>
      <c r="CC108" s="18">
        <f t="shared" si="275"/>
        <v>0</v>
      </c>
      <c r="CD108" s="20">
        <f t="shared" si="268"/>
        <v>-14400</v>
      </c>
      <c r="CE108" s="142"/>
      <c r="CG108" s="93"/>
      <c r="CH108" s="93"/>
      <c r="CJ108" s="91">
        <f t="shared" ref="CJ108:CM111" si="276">BG108+BK108+BO108</f>
        <v>3600</v>
      </c>
      <c r="CK108" s="91">
        <f t="shared" si="276"/>
        <v>0</v>
      </c>
      <c r="CL108" s="91">
        <f t="shared" si="276"/>
        <v>0</v>
      </c>
      <c r="CM108" s="91">
        <f t="shared" si="276"/>
        <v>-3600</v>
      </c>
      <c r="CN108" s="91">
        <f t="shared" si="236"/>
        <v>14400</v>
      </c>
      <c r="CO108" s="91">
        <f t="shared" si="236"/>
        <v>0</v>
      </c>
      <c r="CP108" s="91">
        <f t="shared" si="236"/>
        <v>0</v>
      </c>
      <c r="CQ108" s="91">
        <f t="shared" si="236"/>
        <v>-14400</v>
      </c>
    </row>
    <row r="109" spans="1:95" ht="16.5" x14ac:dyDescent="0.3">
      <c r="A109" s="49" t="s">
        <v>105</v>
      </c>
      <c r="B109" s="38" t="s">
        <v>106</v>
      </c>
      <c r="C109" s="174">
        <v>10000</v>
      </c>
      <c r="D109" s="18"/>
      <c r="E109" s="43"/>
      <c r="F109" s="170">
        <f t="shared" si="225"/>
        <v>-10000</v>
      </c>
      <c r="G109" s="83">
        <v>10000</v>
      </c>
      <c r="H109" s="18"/>
      <c r="I109" s="18"/>
      <c r="J109" s="19">
        <f t="shared" si="226"/>
        <v>-10000</v>
      </c>
      <c r="K109" s="17">
        <v>10000</v>
      </c>
      <c r="L109" s="18"/>
      <c r="M109" s="43"/>
      <c r="N109" s="19">
        <f t="shared" si="248"/>
        <v>-10000</v>
      </c>
      <c r="O109" s="17">
        <f t="shared" si="249"/>
        <v>30000</v>
      </c>
      <c r="P109" s="43">
        <f t="shared" si="250"/>
        <v>0</v>
      </c>
      <c r="Q109" s="43">
        <f t="shared" si="250"/>
        <v>0</v>
      </c>
      <c r="R109" s="19">
        <f t="shared" si="251"/>
        <v>-30000</v>
      </c>
      <c r="S109" s="17">
        <v>0</v>
      </c>
      <c r="T109" s="18"/>
      <c r="U109" s="43"/>
      <c r="V109" s="19">
        <f t="shared" si="252"/>
        <v>0</v>
      </c>
      <c r="W109" s="17">
        <v>10000</v>
      </c>
      <c r="X109" s="18"/>
      <c r="Y109" s="37"/>
      <c r="Z109" s="18">
        <f t="shared" si="253"/>
        <v>-10000</v>
      </c>
      <c r="AA109" s="83">
        <v>10000</v>
      </c>
      <c r="AB109" s="18">
        <v>18407.2</v>
      </c>
      <c r="AC109" s="43">
        <v>18407.2</v>
      </c>
      <c r="AD109" s="19">
        <f t="shared" si="254"/>
        <v>8407.2000000000007</v>
      </c>
      <c r="AE109" s="17">
        <f t="shared" si="272"/>
        <v>20000</v>
      </c>
      <c r="AF109" s="18">
        <f t="shared" si="272"/>
        <v>18407.2</v>
      </c>
      <c r="AG109" s="18">
        <f t="shared" si="272"/>
        <v>18407.2</v>
      </c>
      <c r="AH109" s="19">
        <f t="shared" si="255"/>
        <v>-1592.7999999999993</v>
      </c>
      <c r="AI109" s="17">
        <f t="shared" si="273"/>
        <v>50000</v>
      </c>
      <c r="AJ109" s="18">
        <f t="shared" si="273"/>
        <v>18407.2</v>
      </c>
      <c r="AK109" s="18">
        <f t="shared" si="273"/>
        <v>18407.2</v>
      </c>
      <c r="AL109" s="19">
        <f t="shared" si="256"/>
        <v>-31592.799999999999</v>
      </c>
      <c r="AM109" s="17">
        <v>10000</v>
      </c>
      <c r="AN109" s="18"/>
      <c r="AO109" s="18"/>
      <c r="AP109" s="20">
        <f t="shared" si="257"/>
        <v>-10000</v>
      </c>
      <c r="AQ109" s="17">
        <v>10000</v>
      </c>
      <c r="AR109" s="43"/>
      <c r="AS109" s="43"/>
      <c r="AT109" s="20">
        <f t="shared" si="258"/>
        <v>-10000</v>
      </c>
      <c r="AU109" s="17">
        <v>0</v>
      </c>
      <c r="AV109" s="18"/>
      <c r="AW109" s="43"/>
      <c r="AX109" s="20">
        <f t="shared" si="259"/>
        <v>0</v>
      </c>
      <c r="AY109" s="17">
        <f t="shared" si="274"/>
        <v>20000</v>
      </c>
      <c r="AZ109" s="18">
        <f t="shared" si="274"/>
        <v>0</v>
      </c>
      <c r="BA109" s="18">
        <f t="shared" si="274"/>
        <v>0</v>
      </c>
      <c r="BB109" s="19">
        <f t="shared" si="260"/>
        <v>-20000</v>
      </c>
      <c r="BC109" s="190">
        <f t="shared" si="261"/>
        <v>70000</v>
      </c>
      <c r="BD109" s="84">
        <f t="shared" si="261"/>
        <v>18407.2</v>
      </c>
      <c r="BE109" s="84">
        <f t="shared" si="261"/>
        <v>18407.2</v>
      </c>
      <c r="BF109" s="170">
        <f t="shared" si="262"/>
        <v>-51592.800000000003</v>
      </c>
      <c r="BG109" s="83">
        <v>10000</v>
      </c>
      <c r="BH109" s="18"/>
      <c r="BI109" s="43"/>
      <c r="BJ109" s="41">
        <f t="shared" si="263"/>
        <v>-10000</v>
      </c>
      <c r="BK109" s="44">
        <v>10000</v>
      </c>
      <c r="BL109" s="43"/>
      <c r="BM109" s="43"/>
      <c r="BN109" s="41">
        <f t="shared" si="264"/>
        <v>-10000</v>
      </c>
      <c r="BO109" s="44">
        <v>10000</v>
      </c>
      <c r="BP109" s="43"/>
      <c r="BQ109" s="43"/>
      <c r="BR109" s="41">
        <f t="shared" si="265"/>
        <v>-10000</v>
      </c>
      <c r="BS109" s="17">
        <f t="shared" si="270"/>
        <v>30000</v>
      </c>
      <c r="BT109" s="18">
        <f t="shared" si="270"/>
        <v>0</v>
      </c>
      <c r="BU109" s="18">
        <f t="shared" si="270"/>
        <v>0</v>
      </c>
      <c r="BV109" s="20">
        <f t="shared" si="266"/>
        <v>-30000</v>
      </c>
      <c r="BW109" s="17">
        <f t="shared" si="271"/>
        <v>50000</v>
      </c>
      <c r="BX109" s="18">
        <f t="shared" si="271"/>
        <v>0</v>
      </c>
      <c r="BY109" s="18">
        <f t="shared" si="271"/>
        <v>0</v>
      </c>
      <c r="BZ109" s="20">
        <f t="shared" si="267"/>
        <v>-50000</v>
      </c>
      <c r="CA109" s="17">
        <f t="shared" si="275"/>
        <v>100000</v>
      </c>
      <c r="CB109" s="18">
        <f t="shared" si="275"/>
        <v>18407.2</v>
      </c>
      <c r="CC109" s="18">
        <f t="shared" si="275"/>
        <v>18407.2</v>
      </c>
      <c r="CD109" s="20">
        <f t="shared" si="268"/>
        <v>-81592.800000000003</v>
      </c>
      <c r="CG109" s="93"/>
      <c r="CH109" s="93"/>
      <c r="CJ109" s="91">
        <f t="shared" si="276"/>
        <v>30000</v>
      </c>
      <c r="CK109" s="91">
        <f t="shared" si="276"/>
        <v>0</v>
      </c>
      <c r="CL109" s="91">
        <f t="shared" si="276"/>
        <v>0</v>
      </c>
      <c r="CM109" s="91">
        <f t="shared" si="276"/>
        <v>-30000</v>
      </c>
      <c r="CN109" s="91">
        <f t="shared" si="236"/>
        <v>100000</v>
      </c>
      <c r="CO109" s="91">
        <f t="shared" si="236"/>
        <v>18407.2</v>
      </c>
      <c r="CP109" s="91">
        <f t="shared" si="236"/>
        <v>18407.2</v>
      </c>
      <c r="CQ109" s="91">
        <f t="shared" si="236"/>
        <v>-81592.800000000003</v>
      </c>
    </row>
    <row r="110" spans="1:95" ht="25.15" customHeight="1" x14ac:dyDescent="0.3">
      <c r="A110" s="49" t="s">
        <v>107</v>
      </c>
      <c r="B110" s="38" t="s">
        <v>108</v>
      </c>
      <c r="C110" s="168"/>
      <c r="D110" s="18"/>
      <c r="E110" s="18"/>
      <c r="F110" s="170">
        <f t="shared" si="225"/>
        <v>0</v>
      </c>
      <c r="G110" s="143"/>
      <c r="H110" s="18"/>
      <c r="I110" s="18"/>
      <c r="J110" s="19">
        <f t="shared" si="226"/>
        <v>0</v>
      </c>
      <c r="K110" s="135"/>
      <c r="L110" s="18"/>
      <c r="M110" s="43"/>
      <c r="N110" s="19">
        <f t="shared" si="248"/>
        <v>0</v>
      </c>
      <c r="O110" s="17">
        <f t="shared" si="249"/>
        <v>0</v>
      </c>
      <c r="P110" s="43">
        <f t="shared" si="250"/>
        <v>0</v>
      </c>
      <c r="Q110" s="43">
        <f t="shared" si="250"/>
        <v>0</v>
      </c>
      <c r="R110" s="19">
        <f t="shared" si="251"/>
        <v>0</v>
      </c>
      <c r="S110" s="135"/>
      <c r="T110" s="18"/>
      <c r="U110" s="43"/>
      <c r="V110" s="19">
        <f t="shared" si="252"/>
        <v>0</v>
      </c>
      <c r="W110" s="135"/>
      <c r="X110" s="18"/>
      <c r="Y110" s="37"/>
      <c r="Z110" s="18">
        <f t="shared" si="253"/>
        <v>0</v>
      </c>
      <c r="AA110" s="143"/>
      <c r="AB110" s="18"/>
      <c r="AC110" s="43"/>
      <c r="AD110" s="19">
        <f t="shared" si="254"/>
        <v>0</v>
      </c>
      <c r="AE110" s="17">
        <f t="shared" si="272"/>
        <v>0</v>
      </c>
      <c r="AF110" s="18">
        <f t="shared" si="272"/>
        <v>0</v>
      </c>
      <c r="AG110" s="18">
        <f t="shared" si="272"/>
        <v>0</v>
      </c>
      <c r="AH110" s="19">
        <f t="shared" si="255"/>
        <v>0</v>
      </c>
      <c r="AI110" s="17">
        <f t="shared" si="273"/>
        <v>0</v>
      </c>
      <c r="AJ110" s="18">
        <f t="shared" si="273"/>
        <v>0</v>
      </c>
      <c r="AK110" s="18">
        <f t="shared" si="273"/>
        <v>0</v>
      </c>
      <c r="AL110" s="19">
        <f t="shared" si="256"/>
        <v>0</v>
      </c>
      <c r="AM110" s="135"/>
      <c r="AN110" s="18"/>
      <c r="AO110" s="18"/>
      <c r="AP110" s="20">
        <f t="shared" si="257"/>
        <v>0</v>
      </c>
      <c r="AQ110" s="135"/>
      <c r="AR110" s="43"/>
      <c r="AS110" s="43"/>
      <c r="AT110" s="20">
        <f t="shared" si="258"/>
        <v>0</v>
      </c>
      <c r="AU110" s="135"/>
      <c r="AV110" s="18"/>
      <c r="AW110" s="43"/>
      <c r="AX110" s="20">
        <f t="shared" si="259"/>
        <v>0</v>
      </c>
      <c r="AY110" s="17">
        <f t="shared" si="274"/>
        <v>0</v>
      </c>
      <c r="AZ110" s="18">
        <f t="shared" si="274"/>
        <v>0</v>
      </c>
      <c r="BA110" s="18">
        <f t="shared" si="274"/>
        <v>0</v>
      </c>
      <c r="BB110" s="19">
        <f t="shared" si="260"/>
        <v>0</v>
      </c>
      <c r="BC110" s="190">
        <f t="shared" si="261"/>
        <v>0</v>
      </c>
      <c r="BD110" s="84">
        <f t="shared" si="261"/>
        <v>0</v>
      </c>
      <c r="BE110" s="84">
        <f t="shared" si="261"/>
        <v>0</v>
      </c>
      <c r="BF110" s="170">
        <f t="shared" si="262"/>
        <v>0</v>
      </c>
      <c r="BG110" s="143"/>
      <c r="BH110" s="18"/>
      <c r="BI110" s="43"/>
      <c r="BJ110" s="41">
        <f t="shared" si="263"/>
        <v>0</v>
      </c>
      <c r="BK110" s="144"/>
      <c r="BL110" s="43"/>
      <c r="BM110" s="43"/>
      <c r="BN110" s="41">
        <f t="shared" si="264"/>
        <v>0</v>
      </c>
      <c r="BO110" s="144"/>
      <c r="BP110" s="43"/>
      <c r="BQ110" s="43"/>
      <c r="BR110" s="41">
        <f t="shared" si="265"/>
        <v>0</v>
      </c>
      <c r="BS110" s="17">
        <f t="shared" si="270"/>
        <v>0</v>
      </c>
      <c r="BT110" s="18">
        <f t="shared" si="270"/>
        <v>0</v>
      </c>
      <c r="BU110" s="18">
        <f t="shared" si="270"/>
        <v>0</v>
      </c>
      <c r="BV110" s="20">
        <f t="shared" si="266"/>
        <v>0</v>
      </c>
      <c r="BW110" s="17">
        <f t="shared" si="271"/>
        <v>0</v>
      </c>
      <c r="BX110" s="18">
        <f t="shared" si="271"/>
        <v>0</v>
      </c>
      <c r="BY110" s="18">
        <f t="shared" si="271"/>
        <v>0</v>
      </c>
      <c r="BZ110" s="20">
        <f t="shared" si="267"/>
        <v>0</v>
      </c>
      <c r="CA110" s="17">
        <f t="shared" si="275"/>
        <v>0</v>
      </c>
      <c r="CB110" s="18">
        <f t="shared" si="275"/>
        <v>0</v>
      </c>
      <c r="CC110" s="18">
        <f t="shared" si="275"/>
        <v>0</v>
      </c>
      <c r="CD110" s="20">
        <f t="shared" si="268"/>
        <v>0</v>
      </c>
      <c r="CG110" s="93"/>
      <c r="CH110" s="93"/>
      <c r="CJ110" s="91">
        <f t="shared" si="276"/>
        <v>0</v>
      </c>
      <c r="CK110" s="91">
        <f t="shared" si="276"/>
        <v>0</v>
      </c>
      <c r="CL110" s="91">
        <f t="shared" si="276"/>
        <v>0</v>
      </c>
      <c r="CM110" s="91">
        <f t="shared" si="276"/>
        <v>0</v>
      </c>
      <c r="CN110" s="91">
        <f t="shared" si="236"/>
        <v>0</v>
      </c>
      <c r="CO110" s="91">
        <f t="shared" si="236"/>
        <v>0</v>
      </c>
      <c r="CP110" s="91">
        <f t="shared" si="236"/>
        <v>0</v>
      </c>
      <c r="CQ110" s="91">
        <f t="shared" si="236"/>
        <v>0</v>
      </c>
    </row>
    <row r="111" spans="1:95" ht="16.5" x14ac:dyDescent="0.3">
      <c r="A111" s="49" t="s">
        <v>107</v>
      </c>
      <c r="B111" s="38" t="s">
        <v>109</v>
      </c>
      <c r="C111" s="168"/>
      <c r="D111" s="18"/>
      <c r="E111" s="18"/>
      <c r="F111" s="170">
        <f t="shared" si="225"/>
        <v>0</v>
      </c>
      <c r="G111" s="83"/>
      <c r="H111" s="18"/>
      <c r="I111" s="18"/>
      <c r="J111" s="19">
        <f t="shared" si="226"/>
        <v>0</v>
      </c>
      <c r="K111" s="17"/>
      <c r="L111" s="18"/>
      <c r="M111" s="43"/>
      <c r="N111" s="19">
        <f t="shared" si="248"/>
        <v>0</v>
      </c>
      <c r="O111" s="17">
        <f t="shared" si="249"/>
        <v>0</v>
      </c>
      <c r="P111" s="43">
        <f t="shared" si="250"/>
        <v>0</v>
      </c>
      <c r="Q111" s="43">
        <f t="shared" si="250"/>
        <v>0</v>
      </c>
      <c r="R111" s="19">
        <f t="shared" si="251"/>
        <v>0</v>
      </c>
      <c r="S111" s="17"/>
      <c r="T111" s="18"/>
      <c r="U111" s="43"/>
      <c r="V111" s="19">
        <f t="shared" si="252"/>
        <v>0</v>
      </c>
      <c r="W111" s="17"/>
      <c r="X111" s="18"/>
      <c r="Y111" s="37"/>
      <c r="Z111" s="18">
        <f t="shared" si="253"/>
        <v>0</v>
      </c>
      <c r="AA111" s="83"/>
      <c r="AB111" s="18"/>
      <c r="AC111" s="43"/>
      <c r="AD111" s="19">
        <f t="shared" si="254"/>
        <v>0</v>
      </c>
      <c r="AE111" s="17">
        <f t="shared" si="272"/>
        <v>0</v>
      </c>
      <c r="AF111" s="18">
        <f t="shared" si="272"/>
        <v>0</v>
      </c>
      <c r="AG111" s="18">
        <f t="shared" si="272"/>
        <v>0</v>
      </c>
      <c r="AH111" s="19">
        <f t="shared" si="255"/>
        <v>0</v>
      </c>
      <c r="AI111" s="17">
        <f t="shared" si="273"/>
        <v>0</v>
      </c>
      <c r="AJ111" s="18">
        <f t="shared" si="273"/>
        <v>0</v>
      </c>
      <c r="AK111" s="18">
        <f t="shared" si="273"/>
        <v>0</v>
      </c>
      <c r="AL111" s="19">
        <f t="shared" si="256"/>
        <v>0</v>
      </c>
      <c r="AM111" s="17"/>
      <c r="AN111" s="18"/>
      <c r="AO111" s="18"/>
      <c r="AP111" s="20">
        <f t="shared" si="257"/>
        <v>0</v>
      </c>
      <c r="AQ111" s="17"/>
      <c r="AR111" s="18"/>
      <c r="AS111" s="18"/>
      <c r="AT111" s="20">
        <f t="shared" si="258"/>
        <v>0</v>
      </c>
      <c r="AU111" s="17"/>
      <c r="AV111" s="18"/>
      <c r="AW111" s="43"/>
      <c r="AX111" s="20">
        <f t="shared" si="259"/>
        <v>0</v>
      </c>
      <c r="AY111" s="17">
        <f t="shared" si="274"/>
        <v>0</v>
      </c>
      <c r="AZ111" s="18">
        <f t="shared" si="274"/>
        <v>0</v>
      </c>
      <c r="BA111" s="18">
        <f t="shared" si="274"/>
        <v>0</v>
      </c>
      <c r="BB111" s="19">
        <f t="shared" si="260"/>
        <v>0</v>
      </c>
      <c r="BC111" s="190">
        <f t="shared" si="261"/>
        <v>0</v>
      </c>
      <c r="BD111" s="84">
        <f t="shared" si="261"/>
        <v>0</v>
      </c>
      <c r="BE111" s="84">
        <f t="shared" si="261"/>
        <v>0</v>
      </c>
      <c r="BF111" s="170">
        <f t="shared" si="262"/>
        <v>0</v>
      </c>
      <c r="BG111" s="83"/>
      <c r="BH111" s="18"/>
      <c r="BI111" s="43"/>
      <c r="BJ111" s="41">
        <f t="shared" si="263"/>
        <v>0</v>
      </c>
      <c r="BK111" s="44"/>
      <c r="BL111" s="43"/>
      <c r="BM111" s="43"/>
      <c r="BN111" s="41">
        <f t="shared" si="264"/>
        <v>0</v>
      </c>
      <c r="BO111" s="44"/>
      <c r="BP111" s="43"/>
      <c r="BQ111" s="43"/>
      <c r="BR111" s="41">
        <f t="shared" si="265"/>
        <v>0</v>
      </c>
      <c r="BS111" s="17">
        <f t="shared" si="270"/>
        <v>0</v>
      </c>
      <c r="BT111" s="18">
        <f t="shared" si="270"/>
        <v>0</v>
      </c>
      <c r="BU111" s="18">
        <f t="shared" si="270"/>
        <v>0</v>
      </c>
      <c r="BV111" s="20">
        <f t="shared" si="266"/>
        <v>0</v>
      </c>
      <c r="BW111" s="17">
        <f t="shared" si="271"/>
        <v>0</v>
      </c>
      <c r="BX111" s="18">
        <f t="shared" si="271"/>
        <v>0</v>
      </c>
      <c r="BY111" s="18">
        <f t="shared" si="271"/>
        <v>0</v>
      </c>
      <c r="BZ111" s="20">
        <f t="shared" si="267"/>
        <v>0</v>
      </c>
      <c r="CA111" s="17">
        <f t="shared" si="275"/>
        <v>0</v>
      </c>
      <c r="CB111" s="18">
        <f t="shared" si="275"/>
        <v>0</v>
      </c>
      <c r="CC111" s="18">
        <f t="shared" si="275"/>
        <v>0</v>
      </c>
      <c r="CD111" s="20">
        <f t="shared" si="268"/>
        <v>0</v>
      </c>
      <c r="CG111" s="93"/>
      <c r="CH111" s="93"/>
      <c r="CJ111" s="91">
        <f t="shared" si="276"/>
        <v>0</v>
      </c>
      <c r="CK111" s="91">
        <f t="shared" si="276"/>
        <v>0</v>
      </c>
      <c r="CL111" s="91">
        <f t="shared" si="276"/>
        <v>0</v>
      </c>
      <c r="CM111" s="91">
        <f t="shared" si="276"/>
        <v>0</v>
      </c>
      <c r="CN111" s="91">
        <f t="shared" si="236"/>
        <v>0</v>
      </c>
      <c r="CO111" s="91">
        <f t="shared" si="236"/>
        <v>0</v>
      </c>
      <c r="CP111" s="91">
        <f t="shared" si="236"/>
        <v>0</v>
      </c>
      <c r="CQ111" s="91">
        <f t="shared" si="236"/>
        <v>0</v>
      </c>
    </row>
    <row r="112" spans="1:95" ht="16.5" x14ac:dyDescent="0.3">
      <c r="A112" s="49" t="s">
        <v>110</v>
      </c>
      <c r="B112" s="38" t="s">
        <v>111</v>
      </c>
      <c r="C112" s="179">
        <f>C113+C114+C115</f>
        <v>13000</v>
      </c>
      <c r="D112" s="46">
        <f>D113+D114+D115</f>
        <v>16500</v>
      </c>
      <c r="E112" s="46">
        <f>E113+E114+E115</f>
        <v>16500</v>
      </c>
      <c r="F112" s="170">
        <f t="shared" si="225"/>
        <v>3500</v>
      </c>
      <c r="G112" s="130">
        <f>G113+G114+G115</f>
        <v>13000</v>
      </c>
      <c r="H112" s="46">
        <f>H113+H114+H115</f>
        <v>3500</v>
      </c>
      <c r="I112" s="46">
        <f>I113+I114+I115</f>
        <v>3500</v>
      </c>
      <c r="J112" s="19">
        <f t="shared" si="226"/>
        <v>-9500</v>
      </c>
      <c r="K112" s="46">
        <f>K113+K114+K115</f>
        <v>13000</v>
      </c>
      <c r="L112" s="46">
        <f>L113+L114+L115</f>
        <v>5450</v>
      </c>
      <c r="M112" s="128">
        <f>M113+M114+M115</f>
        <v>5450</v>
      </c>
      <c r="N112" s="30">
        <f t="shared" si="248"/>
        <v>-7550</v>
      </c>
      <c r="O112" s="95">
        <f t="shared" ref="O112" si="277">K112+G112+C112</f>
        <v>39000</v>
      </c>
      <c r="P112" s="95">
        <f t="shared" si="250"/>
        <v>25450</v>
      </c>
      <c r="Q112" s="95">
        <f t="shared" si="250"/>
        <v>25450</v>
      </c>
      <c r="R112" s="30">
        <f t="shared" si="251"/>
        <v>-13550</v>
      </c>
      <c r="S112" s="46">
        <f>S113+S114+S115</f>
        <v>13000</v>
      </c>
      <c r="T112" s="131">
        <f>T113+T114+T115</f>
        <v>20000</v>
      </c>
      <c r="U112" s="132">
        <f>U113+U114+U115</f>
        <v>20000</v>
      </c>
      <c r="V112" s="30">
        <f t="shared" si="252"/>
        <v>7000</v>
      </c>
      <c r="W112" s="46">
        <f>W113+W114+W115</f>
        <v>13000</v>
      </c>
      <c r="X112" s="131">
        <f>X113+X114+X115</f>
        <v>5410</v>
      </c>
      <c r="Y112" s="145">
        <f>Y113+Y114+Y115</f>
        <v>5410</v>
      </c>
      <c r="Z112" s="31">
        <f t="shared" si="253"/>
        <v>-7590</v>
      </c>
      <c r="AA112" s="130">
        <f>AA113+AA114+AA115</f>
        <v>13000</v>
      </c>
      <c r="AB112" s="131">
        <f>AB113+AB114+AB115</f>
        <v>9390</v>
      </c>
      <c r="AC112" s="132">
        <f>AC113+AC114+AC115</f>
        <v>9390</v>
      </c>
      <c r="AD112" s="30">
        <f t="shared" si="254"/>
        <v>-3610</v>
      </c>
      <c r="AE112" s="46">
        <f>AE113+AE114+AE115</f>
        <v>39000</v>
      </c>
      <c r="AF112" s="131">
        <f>AF113+AF114+AF115</f>
        <v>34800</v>
      </c>
      <c r="AG112" s="131">
        <f>AG113+AG114+AG115</f>
        <v>34800</v>
      </c>
      <c r="AH112" s="19">
        <f t="shared" si="255"/>
        <v>-4200</v>
      </c>
      <c r="AI112" s="46">
        <f>AI113+AI114+AI115</f>
        <v>78000</v>
      </c>
      <c r="AJ112" s="131">
        <f>AJ113+AJ114+AJ115</f>
        <v>60250</v>
      </c>
      <c r="AK112" s="131">
        <f>AK113+AK114+AK115</f>
        <v>60250</v>
      </c>
      <c r="AL112" s="30">
        <f t="shared" si="256"/>
        <v>-17750</v>
      </c>
      <c r="AM112" s="46">
        <f>AM113+AM114+AM115</f>
        <v>18000</v>
      </c>
      <c r="AN112" s="131">
        <f>AN113+AN114+AN115</f>
        <v>20000</v>
      </c>
      <c r="AO112" s="131">
        <f>AO113+AO114+AO115</f>
        <v>20000</v>
      </c>
      <c r="AP112" s="32">
        <f t="shared" si="257"/>
        <v>2000</v>
      </c>
      <c r="AQ112" s="46">
        <f>AQ113+AQ114+AQ115</f>
        <v>13000</v>
      </c>
      <c r="AR112" s="131">
        <f>AR113+AR114+AR115</f>
        <v>3500</v>
      </c>
      <c r="AS112" s="131">
        <f>AS113+AS114+AS115</f>
        <v>3500</v>
      </c>
      <c r="AT112" s="32">
        <f t="shared" si="258"/>
        <v>-9500</v>
      </c>
      <c r="AU112" s="46">
        <f>AU113+AU114+AU115</f>
        <v>13000</v>
      </c>
      <c r="AV112" s="131">
        <f>AV113+AV114+AV115</f>
        <v>12150</v>
      </c>
      <c r="AW112" s="132">
        <f>AW113+AW114+AW115</f>
        <v>12150</v>
      </c>
      <c r="AX112" s="32">
        <f t="shared" si="259"/>
        <v>-850</v>
      </c>
      <c r="AY112" s="46">
        <f>AY113+AY114+AY115</f>
        <v>44000</v>
      </c>
      <c r="AZ112" s="131">
        <f>AZ113+AZ114+AZ115</f>
        <v>35650</v>
      </c>
      <c r="BA112" s="131">
        <f>BA113+BA114+BA115</f>
        <v>35650</v>
      </c>
      <c r="BB112" s="30">
        <f t="shared" si="260"/>
        <v>-8350</v>
      </c>
      <c r="BC112" s="190">
        <f t="shared" si="261"/>
        <v>122000</v>
      </c>
      <c r="BD112" s="84">
        <f t="shared" si="261"/>
        <v>95900</v>
      </c>
      <c r="BE112" s="84">
        <f t="shared" si="261"/>
        <v>95900</v>
      </c>
      <c r="BF112" s="170">
        <f t="shared" si="262"/>
        <v>-26100</v>
      </c>
      <c r="BG112" s="130">
        <f>BG113+BG114+BG115</f>
        <v>13000</v>
      </c>
      <c r="BH112" s="131">
        <f>BH113+BH114+BH115</f>
        <v>3500</v>
      </c>
      <c r="BI112" s="132">
        <f>BI113+BI114+BI115</f>
        <v>3500</v>
      </c>
      <c r="BJ112" s="27">
        <f t="shared" si="263"/>
        <v>-9500</v>
      </c>
      <c r="BK112" s="128">
        <f>BK113+BK114+BK115</f>
        <v>13000</v>
      </c>
      <c r="BL112" s="128">
        <f>BL113+BL114+BL115</f>
        <v>32800</v>
      </c>
      <c r="BM112" s="128">
        <f>BM113+BM114+BM115</f>
        <v>32800</v>
      </c>
      <c r="BN112" s="27">
        <f t="shared" si="264"/>
        <v>19800</v>
      </c>
      <c r="BO112" s="128">
        <f>BO113+BO114+BO115</f>
        <v>13000</v>
      </c>
      <c r="BP112" s="128">
        <f>BP113+BP114+BP115</f>
        <v>27680</v>
      </c>
      <c r="BQ112" s="128">
        <f>BQ113+BQ114+BQ115</f>
        <v>27680</v>
      </c>
      <c r="BR112" s="27">
        <f t="shared" si="265"/>
        <v>14680</v>
      </c>
      <c r="BS112" s="17">
        <f t="shared" si="270"/>
        <v>39000</v>
      </c>
      <c r="BT112" s="18">
        <f t="shared" si="270"/>
        <v>63980</v>
      </c>
      <c r="BU112" s="18">
        <f t="shared" si="270"/>
        <v>63980</v>
      </c>
      <c r="BV112" s="20">
        <f t="shared" si="266"/>
        <v>24980</v>
      </c>
      <c r="BW112" s="17">
        <f t="shared" si="271"/>
        <v>83000</v>
      </c>
      <c r="BX112" s="18">
        <f t="shared" si="271"/>
        <v>99630</v>
      </c>
      <c r="BY112" s="31">
        <f t="shared" si="271"/>
        <v>99630</v>
      </c>
      <c r="BZ112" s="20">
        <f t="shared" si="267"/>
        <v>16630</v>
      </c>
      <c r="CA112" s="46">
        <f>CA113+CA114+CA115</f>
        <v>161000</v>
      </c>
      <c r="CB112" s="131">
        <f>CB113+CB114+CB115</f>
        <v>159880</v>
      </c>
      <c r="CC112" s="131">
        <f>CC113+CC114+CC115</f>
        <v>159880</v>
      </c>
      <c r="CD112" s="32">
        <f t="shared" si="268"/>
        <v>-1120</v>
      </c>
      <c r="CG112" s="93"/>
      <c r="CH112" s="93"/>
      <c r="CJ112" s="208">
        <f>CJ113+CJ114+CJ115</f>
        <v>39000</v>
      </c>
      <c r="CK112" s="208">
        <f>CK113+CK114+CK115</f>
        <v>63980</v>
      </c>
      <c r="CL112" s="208">
        <f>CL113+CL114+CL115</f>
        <v>63980</v>
      </c>
      <c r="CM112" s="208">
        <f>CM113+CM114+CM115</f>
        <v>24980</v>
      </c>
      <c r="CN112" s="208">
        <f t="shared" si="236"/>
        <v>161000</v>
      </c>
      <c r="CO112" s="208">
        <f t="shared" si="236"/>
        <v>159880</v>
      </c>
      <c r="CP112" s="208">
        <f t="shared" si="236"/>
        <v>159880</v>
      </c>
      <c r="CQ112" s="208">
        <f t="shared" si="236"/>
        <v>-1120</v>
      </c>
    </row>
    <row r="113" spans="1:95" ht="16.5" x14ac:dyDescent="0.3">
      <c r="A113" s="9"/>
      <c r="B113" s="28" t="s">
        <v>112</v>
      </c>
      <c r="C113" s="168">
        <v>12000</v>
      </c>
      <c r="D113" s="18">
        <v>16500</v>
      </c>
      <c r="E113" s="18">
        <v>16500</v>
      </c>
      <c r="F113" s="170">
        <f t="shared" si="225"/>
        <v>4500</v>
      </c>
      <c r="G113" s="83">
        <v>12000</v>
      </c>
      <c r="H113" s="18">
        <v>3500</v>
      </c>
      <c r="I113" s="18">
        <v>3500</v>
      </c>
      <c r="J113" s="19">
        <f t="shared" si="226"/>
        <v>-8500</v>
      </c>
      <c r="K113" s="17">
        <v>12000</v>
      </c>
      <c r="L113" s="18">
        <v>5450</v>
      </c>
      <c r="M113" s="43">
        <f>1950+3500</f>
        <v>5450</v>
      </c>
      <c r="N113" s="19">
        <f t="shared" si="248"/>
        <v>-6550</v>
      </c>
      <c r="O113" s="17">
        <f t="shared" si="249"/>
        <v>36000</v>
      </c>
      <c r="P113" s="43">
        <f t="shared" si="250"/>
        <v>25450</v>
      </c>
      <c r="Q113" s="43">
        <f t="shared" si="250"/>
        <v>25450</v>
      </c>
      <c r="R113" s="19">
        <f t="shared" si="251"/>
        <v>-10550</v>
      </c>
      <c r="S113" s="17">
        <v>12000</v>
      </c>
      <c r="T113" s="18">
        <v>20000</v>
      </c>
      <c r="U113" s="43">
        <f>16500+3500</f>
        <v>20000</v>
      </c>
      <c r="V113" s="19">
        <f t="shared" si="252"/>
        <v>8000</v>
      </c>
      <c r="W113" s="17">
        <v>12000</v>
      </c>
      <c r="X113" s="18">
        <f>3500</f>
        <v>3500</v>
      </c>
      <c r="Y113" s="37">
        <v>3500</v>
      </c>
      <c r="Z113" s="18">
        <f t="shared" si="253"/>
        <v>-8500</v>
      </c>
      <c r="AA113" s="83">
        <v>12000</v>
      </c>
      <c r="AB113" s="18">
        <v>9390</v>
      </c>
      <c r="AC113" s="43">
        <f>5890+3500</f>
        <v>9390</v>
      </c>
      <c r="AD113" s="19">
        <f t="shared" si="254"/>
        <v>-2610</v>
      </c>
      <c r="AE113" s="17">
        <f t="shared" ref="AE113:AG130" si="278">S113+W113+AA113</f>
        <v>36000</v>
      </c>
      <c r="AF113" s="18">
        <f t="shared" si="278"/>
        <v>32890</v>
      </c>
      <c r="AG113" s="18">
        <f t="shared" si="278"/>
        <v>32890</v>
      </c>
      <c r="AH113" s="19">
        <f t="shared" si="255"/>
        <v>-3110</v>
      </c>
      <c r="AI113" s="17">
        <f t="shared" ref="AI113:AK130" si="279">AE113+O113</f>
        <v>72000</v>
      </c>
      <c r="AJ113" s="18">
        <f t="shared" si="279"/>
        <v>58340</v>
      </c>
      <c r="AK113" s="18">
        <f t="shared" si="279"/>
        <v>58340</v>
      </c>
      <c r="AL113" s="19">
        <f t="shared" si="256"/>
        <v>-13660</v>
      </c>
      <c r="AM113" s="17">
        <v>12000</v>
      </c>
      <c r="AN113" s="18">
        <v>20000</v>
      </c>
      <c r="AO113" s="18">
        <f>16500+3500</f>
        <v>20000</v>
      </c>
      <c r="AP113" s="20">
        <f t="shared" si="257"/>
        <v>8000</v>
      </c>
      <c r="AQ113" s="17">
        <v>12000</v>
      </c>
      <c r="AR113" s="18">
        <v>3500</v>
      </c>
      <c r="AS113" s="18">
        <v>3500</v>
      </c>
      <c r="AT113" s="20">
        <f t="shared" si="258"/>
        <v>-8500</v>
      </c>
      <c r="AU113" s="17">
        <v>12000</v>
      </c>
      <c r="AV113" s="18">
        <v>12150</v>
      </c>
      <c r="AW113" s="43">
        <f>8650+3500</f>
        <v>12150</v>
      </c>
      <c r="AX113" s="20">
        <f t="shared" si="259"/>
        <v>150</v>
      </c>
      <c r="AY113" s="17">
        <f t="shared" ref="AY113:BA129" si="280">AM113+AQ113+AU113</f>
        <v>36000</v>
      </c>
      <c r="AZ113" s="18">
        <v>35650</v>
      </c>
      <c r="BA113" s="18">
        <f t="shared" si="280"/>
        <v>35650</v>
      </c>
      <c r="BB113" s="19">
        <f t="shared" si="260"/>
        <v>-350</v>
      </c>
      <c r="BC113" s="190">
        <f t="shared" si="261"/>
        <v>108000</v>
      </c>
      <c r="BD113" s="84">
        <f t="shared" si="261"/>
        <v>93990</v>
      </c>
      <c r="BE113" s="84">
        <f t="shared" si="261"/>
        <v>93990</v>
      </c>
      <c r="BF113" s="170">
        <f t="shared" si="262"/>
        <v>-14010</v>
      </c>
      <c r="BG113" s="83">
        <v>12000</v>
      </c>
      <c r="BH113" s="18">
        <v>3500</v>
      </c>
      <c r="BI113" s="43">
        <f>3500</f>
        <v>3500</v>
      </c>
      <c r="BJ113" s="41">
        <f t="shared" si="263"/>
        <v>-8500</v>
      </c>
      <c r="BK113" s="44">
        <v>12000</v>
      </c>
      <c r="BL113" s="43">
        <v>32800</v>
      </c>
      <c r="BM113" s="43">
        <f>29300+3500</f>
        <v>32800</v>
      </c>
      <c r="BN113" s="41">
        <f t="shared" si="264"/>
        <v>20800</v>
      </c>
      <c r="BO113" s="44">
        <v>12000</v>
      </c>
      <c r="BP113" s="43">
        <v>27680</v>
      </c>
      <c r="BQ113" s="43">
        <f>1980+25700</f>
        <v>27680</v>
      </c>
      <c r="BR113" s="41">
        <f t="shared" si="265"/>
        <v>15680</v>
      </c>
      <c r="BS113" s="17">
        <f t="shared" si="270"/>
        <v>36000</v>
      </c>
      <c r="BT113" s="18">
        <f t="shared" si="270"/>
        <v>63980</v>
      </c>
      <c r="BU113" s="18">
        <f t="shared" si="270"/>
        <v>63980</v>
      </c>
      <c r="BV113" s="20">
        <f t="shared" si="266"/>
        <v>27980</v>
      </c>
      <c r="BW113" s="17">
        <f t="shared" si="271"/>
        <v>72000</v>
      </c>
      <c r="BX113" s="18">
        <f t="shared" si="271"/>
        <v>99630</v>
      </c>
      <c r="BY113" s="18">
        <f t="shared" si="271"/>
        <v>99630</v>
      </c>
      <c r="BZ113" s="20">
        <f t="shared" si="267"/>
        <v>27630</v>
      </c>
      <c r="CA113" s="17">
        <f t="shared" ref="CA113:CC130" si="281">BW113+AI113</f>
        <v>144000</v>
      </c>
      <c r="CB113" s="18">
        <f t="shared" si="281"/>
        <v>157970</v>
      </c>
      <c r="CC113" s="43">
        <f t="shared" si="281"/>
        <v>157970</v>
      </c>
      <c r="CD113" s="20">
        <f t="shared" si="268"/>
        <v>13970</v>
      </c>
      <c r="CG113" s="93"/>
      <c r="CH113" s="93"/>
      <c r="CJ113" s="91">
        <f t="shared" ref="CJ113:CM130" si="282">BG113+BK113+BO113</f>
        <v>36000</v>
      </c>
      <c r="CK113" s="91">
        <f t="shared" si="282"/>
        <v>63980</v>
      </c>
      <c r="CL113" s="91">
        <f t="shared" si="282"/>
        <v>63980</v>
      </c>
      <c r="CM113" s="91">
        <f t="shared" si="282"/>
        <v>27980</v>
      </c>
      <c r="CN113" s="91">
        <f t="shared" si="236"/>
        <v>144000</v>
      </c>
      <c r="CO113" s="91">
        <f t="shared" si="236"/>
        <v>157970</v>
      </c>
      <c r="CP113" s="91">
        <f t="shared" si="236"/>
        <v>157970</v>
      </c>
      <c r="CQ113" s="91">
        <f t="shared" si="236"/>
        <v>13970</v>
      </c>
    </row>
    <row r="114" spans="1:95" ht="16.5" x14ac:dyDescent="0.3">
      <c r="A114" s="9"/>
      <c r="B114" s="28" t="s">
        <v>113</v>
      </c>
      <c r="C114" s="168"/>
      <c r="D114" s="18"/>
      <c r="E114" s="18"/>
      <c r="F114" s="170">
        <f t="shared" si="225"/>
        <v>0</v>
      </c>
      <c r="G114" s="83"/>
      <c r="H114" s="18"/>
      <c r="I114" s="18"/>
      <c r="J114" s="19">
        <f t="shared" si="226"/>
        <v>0</v>
      </c>
      <c r="K114" s="17"/>
      <c r="L114" s="18"/>
      <c r="M114" s="43"/>
      <c r="N114" s="19">
        <f t="shared" si="248"/>
        <v>0</v>
      </c>
      <c r="O114" s="17">
        <f t="shared" si="249"/>
        <v>0</v>
      </c>
      <c r="P114" s="43">
        <f t="shared" si="250"/>
        <v>0</v>
      </c>
      <c r="Q114" s="43">
        <f t="shared" si="250"/>
        <v>0</v>
      </c>
      <c r="R114" s="19">
        <f t="shared" si="251"/>
        <v>0</v>
      </c>
      <c r="S114" s="17"/>
      <c r="T114" s="18"/>
      <c r="U114" s="43"/>
      <c r="V114" s="19">
        <f t="shared" si="252"/>
        <v>0</v>
      </c>
      <c r="W114" s="17"/>
      <c r="X114" s="18"/>
      <c r="Y114" s="37"/>
      <c r="Z114" s="18">
        <f t="shared" si="253"/>
        <v>0</v>
      </c>
      <c r="AA114" s="83"/>
      <c r="AB114" s="18"/>
      <c r="AC114" s="43"/>
      <c r="AD114" s="19">
        <f t="shared" si="254"/>
        <v>0</v>
      </c>
      <c r="AE114" s="17">
        <f t="shared" si="278"/>
        <v>0</v>
      </c>
      <c r="AF114" s="18">
        <f t="shared" si="278"/>
        <v>0</v>
      </c>
      <c r="AG114" s="18">
        <f t="shared" si="278"/>
        <v>0</v>
      </c>
      <c r="AH114" s="19">
        <f t="shared" si="255"/>
        <v>0</v>
      </c>
      <c r="AI114" s="17">
        <f t="shared" si="279"/>
        <v>0</v>
      </c>
      <c r="AJ114" s="18">
        <f t="shared" si="279"/>
        <v>0</v>
      </c>
      <c r="AK114" s="18">
        <f t="shared" si="279"/>
        <v>0</v>
      </c>
      <c r="AL114" s="19">
        <f t="shared" si="256"/>
        <v>0</v>
      </c>
      <c r="AM114" s="17">
        <v>5000</v>
      </c>
      <c r="AN114" s="18"/>
      <c r="AO114" s="18"/>
      <c r="AP114" s="20">
        <f t="shared" si="257"/>
        <v>-5000</v>
      </c>
      <c r="AQ114" s="17"/>
      <c r="AR114" s="18"/>
      <c r="AS114" s="43"/>
      <c r="AT114" s="20">
        <f t="shared" si="258"/>
        <v>0</v>
      </c>
      <c r="AU114" s="17"/>
      <c r="AV114" s="18"/>
      <c r="AW114" s="43"/>
      <c r="AX114" s="20">
        <f t="shared" si="259"/>
        <v>0</v>
      </c>
      <c r="AY114" s="17">
        <f t="shared" si="280"/>
        <v>5000</v>
      </c>
      <c r="AZ114" s="18">
        <f t="shared" si="280"/>
        <v>0</v>
      </c>
      <c r="BA114" s="18">
        <f t="shared" si="280"/>
        <v>0</v>
      </c>
      <c r="BB114" s="19">
        <f t="shared" si="260"/>
        <v>-5000</v>
      </c>
      <c r="BC114" s="190">
        <f t="shared" si="261"/>
        <v>5000</v>
      </c>
      <c r="BD114" s="84">
        <f t="shared" si="261"/>
        <v>0</v>
      </c>
      <c r="BE114" s="84">
        <f t="shared" si="261"/>
        <v>0</v>
      </c>
      <c r="BF114" s="170">
        <f t="shared" si="262"/>
        <v>-5000</v>
      </c>
      <c r="BG114" s="83"/>
      <c r="BH114" s="18"/>
      <c r="BI114" s="43"/>
      <c r="BJ114" s="41">
        <f t="shared" si="263"/>
        <v>0</v>
      </c>
      <c r="BK114" s="44"/>
      <c r="BL114" s="43"/>
      <c r="BM114" s="43"/>
      <c r="BN114" s="41">
        <f t="shared" si="264"/>
        <v>0</v>
      </c>
      <c r="BO114" s="44"/>
      <c r="BP114" s="43"/>
      <c r="BQ114" s="43"/>
      <c r="BR114" s="41">
        <f t="shared" si="265"/>
        <v>0</v>
      </c>
      <c r="BS114" s="17">
        <f t="shared" si="270"/>
        <v>0</v>
      </c>
      <c r="BT114" s="18">
        <f t="shared" si="270"/>
        <v>0</v>
      </c>
      <c r="BU114" s="18">
        <f t="shared" si="270"/>
        <v>0</v>
      </c>
      <c r="BV114" s="20">
        <f t="shared" si="266"/>
        <v>0</v>
      </c>
      <c r="BW114" s="17">
        <f t="shared" si="271"/>
        <v>5000</v>
      </c>
      <c r="BX114" s="18">
        <f t="shared" si="271"/>
        <v>0</v>
      </c>
      <c r="BY114" s="18">
        <f t="shared" si="271"/>
        <v>0</v>
      </c>
      <c r="BZ114" s="20">
        <f t="shared" si="267"/>
        <v>-5000</v>
      </c>
      <c r="CA114" s="17">
        <f t="shared" si="281"/>
        <v>5000</v>
      </c>
      <c r="CB114" s="18">
        <f t="shared" si="281"/>
        <v>0</v>
      </c>
      <c r="CC114" s="43">
        <f t="shared" si="281"/>
        <v>0</v>
      </c>
      <c r="CD114" s="20">
        <f t="shared" si="268"/>
        <v>-5000</v>
      </c>
      <c r="CG114" s="93"/>
      <c r="CH114" s="93"/>
      <c r="CJ114" s="91">
        <f t="shared" si="282"/>
        <v>0</v>
      </c>
      <c r="CK114" s="91">
        <f t="shared" si="282"/>
        <v>0</v>
      </c>
      <c r="CL114" s="91">
        <f t="shared" si="282"/>
        <v>0</v>
      </c>
      <c r="CM114" s="91">
        <f t="shared" si="282"/>
        <v>0</v>
      </c>
      <c r="CN114" s="91">
        <f t="shared" si="236"/>
        <v>5000</v>
      </c>
      <c r="CO114" s="91">
        <f t="shared" si="236"/>
        <v>0</v>
      </c>
      <c r="CP114" s="91">
        <f t="shared" si="236"/>
        <v>0</v>
      </c>
      <c r="CQ114" s="91">
        <f t="shared" si="236"/>
        <v>-5000</v>
      </c>
    </row>
    <row r="115" spans="1:95" ht="27" customHeight="1" x14ac:dyDescent="0.3">
      <c r="A115" s="9"/>
      <c r="B115" s="28" t="s">
        <v>160</v>
      </c>
      <c r="C115" s="168">
        <v>1000</v>
      </c>
      <c r="D115" s="18"/>
      <c r="E115" s="43"/>
      <c r="F115" s="170">
        <f t="shared" si="225"/>
        <v>-1000</v>
      </c>
      <c r="G115" s="83">
        <v>1000</v>
      </c>
      <c r="H115" s="18"/>
      <c r="I115" s="43"/>
      <c r="J115" s="19">
        <f t="shared" si="226"/>
        <v>-1000</v>
      </c>
      <c r="K115" s="17">
        <v>1000</v>
      </c>
      <c r="L115" s="18"/>
      <c r="M115" s="43"/>
      <c r="N115" s="19">
        <f t="shared" si="248"/>
        <v>-1000</v>
      </c>
      <c r="O115" s="17">
        <f t="shared" si="249"/>
        <v>3000</v>
      </c>
      <c r="P115" s="43">
        <f t="shared" si="250"/>
        <v>0</v>
      </c>
      <c r="Q115" s="43">
        <f t="shared" si="250"/>
        <v>0</v>
      </c>
      <c r="R115" s="19">
        <f t="shared" si="251"/>
        <v>-3000</v>
      </c>
      <c r="S115" s="17">
        <v>1000</v>
      </c>
      <c r="T115" s="18"/>
      <c r="U115" s="43"/>
      <c r="V115" s="19">
        <f t="shared" si="252"/>
        <v>-1000</v>
      </c>
      <c r="W115" s="17">
        <v>1000</v>
      </c>
      <c r="X115" s="18">
        <v>1910</v>
      </c>
      <c r="Y115" s="37">
        <v>1910</v>
      </c>
      <c r="Z115" s="18">
        <f t="shared" si="253"/>
        <v>910</v>
      </c>
      <c r="AA115" s="83">
        <v>1000</v>
      </c>
      <c r="AB115" s="18"/>
      <c r="AC115" s="43"/>
      <c r="AD115" s="19">
        <f t="shared" si="254"/>
        <v>-1000</v>
      </c>
      <c r="AE115" s="17">
        <f t="shared" si="278"/>
        <v>3000</v>
      </c>
      <c r="AF115" s="18">
        <f t="shared" si="278"/>
        <v>1910</v>
      </c>
      <c r="AG115" s="18">
        <f t="shared" si="278"/>
        <v>1910</v>
      </c>
      <c r="AH115" s="19">
        <f t="shared" si="255"/>
        <v>-1090</v>
      </c>
      <c r="AI115" s="17">
        <f t="shared" si="279"/>
        <v>6000</v>
      </c>
      <c r="AJ115" s="18">
        <f t="shared" si="279"/>
        <v>1910</v>
      </c>
      <c r="AK115" s="18">
        <f t="shared" si="279"/>
        <v>1910</v>
      </c>
      <c r="AL115" s="19">
        <f t="shared" si="256"/>
        <v>-4090</v>
      </c>
      <c r="AM115" s="17">
        <v>1000</v>
      </c>
      <c r="AN115" s="18"/>
      <c r="AO115" s="18"/>
      <c r="AP115" s="20">
        <f t="shared" si="257"/>
        <v>-1000</v>
      </c>
      <c r="AQ115" s="17">
        <v>1000</v>
      </c>
      <c r="AR115" s="18"/>
      <c r="AS115" s="43"/>
      <c r="AT115" s="20">
        <f t="shared" si="258"/>
        <v>-1000</v>
      </c>
      <c r="AU115" s="17">
        <v>1000</v>
      </c>
      <c r="AV115" s="18"/>
      <c r="AW115" s="43"/>
      <c r="AX115" s="20">
        <f t="shared" si="259"/>
        <v>-1000</v>
      </c>
      <c r="AY115" s="17">
        <f t="shared" si="280"/>
        <v>3000</v>
      </c>
      <c r="AZ115" s="18">
        <f t="shared" si="280"/>
        <v>0</v>
      </c>
      <c r="BA115" s="18">
        <f t="shared" si="280"/>
        <v>0</v>
      </c>
      <c r="BB115" s="19">
        <f t="shared" si="260"/>
        <v>-3000</v>
      </c>
      <c r="BC115" s="190">
        <f t="shared" si="261"/>
        <v>9000</v>
      </c>
      <c r="BD115" s="84">
        <f t="shared" si="261"/>
        <v>1910</v>
      </c>
      <c r="BE115" s="84">
        <f t="shared" si="261"/>
        <v>1910</v>
      </c>
      <c r="BF115" s="170">
        <f t="shared" si="262"/>
        <v>-7090</v>
      </c>
      <c r="BG115" s="83">
        <v>1000</v>
      </c>
      <c r="BH115" s="18"/>
      <c r="BI115" s="43"/>
      <c r="BJ115" s="41">
        <f t="shared" si="263"/>
        <v>-1000</v>
      </c>
      <c r="BK115" s="44">
        <v>1000</v>
      </c>
      <c r="BL115" s="43"/>
      <c r="BM115" s="43"/>
      <c r="BN115" s="41">
        <f t="shared" si="264"/>
        <v>-1000</v>
      </c>
      <c r="BO115" s="44">
        <v>1000</v>
      </c>
      <c r="BP115" s="43"/>
      <c r="BQ115" s="43"/>
      <c r="BR115" s="41">
        <f t="shared" si="265"/>
        <v>-1000</v>
      </c>
      <c r="BS115" s="17">
        <f t="shared" si="270"/>
        <v>3000</v>
      </c>
      <c r="BT115" s="18">
        <f t="shared" si="270"/>
        <v>0</v>
      </c>
      <c r="BU115" s="18">
        <f t="shared" si="270"/>
        <v>0</v>
      </c>
      <c r="BV115" s="20">
        <f t="shared" si="266"/>
        <v>-3000</v>
      </c>
      <c r="BW115" s="17">
        <f t="shared" si="271"/>
        <v>6000</v>
      </c>
      <c r="BX115" s="18">
        <f t="shared" si="271"/>
        <v>0</v>
      </c>
      <c r="BY115" s="18">
        <f t="shared" si="271"/>
        <v>0</v>
      </c>
      <c r="BZ115" s="20">
        <f t="shared" si="267"/>
        <v>-6000</v>
      </c>
      <c r="CA115" s="17">
        <f t="shared" si="281"/>
        <v>12000</v>
      </c>
      <c r="CB115" s="18">
        <f t="shared" si="281"/>
        <v>1910</v>
      </c>
      <c r="CC115" s="43">
        <f t="shared" si="281"/>
        <v>1910</v>
      </c>
      <c r="CD115" s="20">
        <f t="shared" si="268"/>
        <v>-10090</v>
      </c>
      <c r="CG115" s="93"/>
      <c r="CH115" s="93"/>
      <c r="CJ115" s="91">
        <f t="shared" si="282"/>
        <v>3000</v>
      </c>
      <c r="CK115" s="91">
        <f t="shared" si="282"/>
        <v>0</v>
      </c>
      <c r="CL115" s="91">
        <f t="shared" si="282"/>
        <v>0</v>
      </c>
      <c r="CM115" s="91">
        <f t="shared" si="282"/>
        <v>-3000</v>
      </c>
      <c r="CN115" s="91">
        <f t="shared" si="236"/>
        <v>12000</v>
      </c>
      <c r="CO115" s="91">
        <f t="shared" si="236"/>
        <v>1910</v>
      </c>
      <c r="CP115" s="91">
        <f t="shared" si="236"/>
        <v>1910</v>
      </c>
      <c r="CQ115" s="91">
        <f t="shared" si="236"/>
        <v>-10090</v>
      </c>
    </row>
    <row r="116" spans="1:95" ht="25.5" x14ac:dyDescent="0.3">
      <c r="A116" s="49" t="s">
        <v>114</v>
      </c>
      <c r="B116" s="38" t="s">
        <v>170</v>
      </c>
      <c r="C116" s="174">
        <v>3000</v>
      </c>
      <c r="D116" s="18">
        <v>31485</v>
      </c>
      <c r="E116" s="43">
        <v>31485</v>
      </c>
      <c r="F116" s="170">
        <f t="shared" si="225"/>
        <v>28485</v>
      </c>
      <c r="G116" s="83">
        <v>3000</v>
      </c>
      <c r="H116" s="18">
        <v>7500</v>
      </c>
      <c r="I116" s="43">
        <v>7500</v>
      </c>
      <c r="J116" s="19">
        <f t="shared" si="226"/>
        <v>4500</v>
      </c>
      <c r="K116" s="17">
        <v>3000</v>
      </c>
      <c r="L116" s="18"/>
      <c r="M116" s="18"/>
      <c r="N116" s="19">
        <f t="shared" si="248"/>
        <v>-3000</v>
      </c>
      <c r="O116" s="17">
        <f t="shared" si="249"/>
        <v>9000</v>
      </c>
      <c r="P116" s="43">
        <f t="shared" si="250"/>
        <v>38985</v>
      </c>
      <c r="Q116" s="43">
        <f t="shared" si="250"/>
        <v>38985</v>
      </c>
      <c r="R116" s="19">
        <f t="shared" si="251"/>
        <v>29985</v>
      </c>
      <c r="S116" s="17">
        <v>3000</v>
      </c>
      <c r="T116" s="18"/>
      <c r="U116" s="43"/>
      <c r="V116" s="19">
        <f t="shared" si="252"/>
        <v>-3000</v>
      </c>
      <c r="W116" s="17">
        <v>3000</v>
      </c>
      <c r="X116" s="18">
        <v>113754.07</v>
      </c>
      <c r="Y116" s="37">
        <v>113754.07</v>
      </c>
      <c r="Z116" s="18">
        <f t="shared" si="253"/>
        <v>110754.07</v>
      </c>
      <c r="AA116" s="83">
        <v>3000</v>
      </c>
      <c r="AB116" s="18"/>
      <c r="AC116" s="43"/>
      <c r="AD116" s="19">
        <f t="shared" si="254"/>
        <v>-3000</v>
      </c>
      <c r="AE116" s="17">
        <f t="shared" si="278"/>
        <v>9000</v>
      </c>
      <c r="AF116" s="18">
        <f t="shared" si="278"/>
        <v>113754.07</v>
      </c>
      <c r="AG116" s="18">
        <f t="shared" si="278"/>
        <v>113754.07</v>
      </c>
      <c r="AH116" s="19">
        <f t="shared" si="255"/>
        <v>104754.07</v>
      </c>
      <c r="AI116" s="17">
        <f t="shared" si="279"/>
        <v>18000</v>
      </c>
      <c r="AJ116" s="18">
        <f t="shared" si="279"/>
        <v>152739.07</v>
      </c>
      <c r="AK116" s="18">
        <f t="shared" si="279"/>
        <v>152739.07</v>
      </c>
      <c r="AL116" s="19">
        <f t="shared" si="256"/>
        <v>134739.07</v>
      </c>
      <c r="AM116" s="17">
        <v>1000</v>
      </c>
      <c r="AN116" s="18"/>
      <c r="AO116" s="18"/>
      <c r="AP116" s="20">
        <f t="shared" si="257"/>
        <v>-1000</v>
      </c>
      <c r="AQ116" s="17">
        <v>1000</v>
      </c>
      <c r="AR116" s="18">
        <v>37762</v>
      </c>
      <c r="AS116" s="43">
        <v>37762</v>
      </c>
      <c r="AT116" s="20">
        <f t="shared" si="258"/>
        <v>36762</v>
      </c>
      <c r="AU116" s="17">
        <v>1000</v>
      </c>
      <c r="AV116" s="18">
        <v>500</v>
      </c>
      <c r="AW116" s="43">
        <v>500</v>
      </c>
      <c r="AX116" s="20">
        <f t="shared" si="259"/>
        <v>-500</v>
      </c>
      <c r="AY116" s="17">
        <f t="shared" si="280"/>
        <v>3000</v>
      </c>
      <c r="AZ116" s="18">
        <f t="shared" si="280"/>
        <v>38262</v>
      </c>
      <c r="BA116" s="18">
        <f t="shared" si="280"/>
        <v>38262</v>
      </c>
      <c r="BB116" s="19">
        <f t="shared" si="260"/>
        <v>35262</v>
      </c>
      <c r="BC116" s="194">
        <f t="shared" si="261"/>
        <v>21000</v>
      </c>
      <c r="BD116" s="124">
        <f t="shared" si="261"/>
        <v>191001.07</v>
      </c>
      <c r="BE116" s="124">
        <f t="shared" si="261"/>
        <v>191001.07</v>
      </c>
      <c r="BF116" s="170">
        <f t="shared" si="262"/>
        <v>170001.07</v>
      </c>
      <c r="BG116" s="83">
        <v>1000</v>
      </c>
      <c r="BH116" s="18"/>
      <c r="BI116" s="43"/>
      <c r="BJ116" s="41">
        <f t="shared" si="263"/>
        <v>-1000</v>
      </c>
      <c r="BK116" s="44">
        <v>1000</v>
      </c>
      <c r="BL116" s="43">
        <f>9000+10500</f>
        <v>19500</v>
      </c>
      <c r="BM116" s="43">
        <f>9000+10500</f>
        <v>19500</v>
      </c>
      <c r="BN116" s="41">
        <f t="shared" si="264"/>
        <v>18500</v>
      </c>
      <c r="BO116" s="44">
        <v>1000</v>
      </c>
      <c r="BP116" s="43">
        <f>50568+600</f>
        <v>51168</v>
      </c>
      <c r="BQ116" s="43">
        <f>1400+51168+5000</f>
        <v>57568</v>
      </c>
      <c r="BR116" s="41">
        <f t="shared" si="265"/>
        <v>50168</v>
      </c>
      <c r="BS116" s="17">
        <f t="shared" si="270"/>
        <v>3000</v>
      </c>
      <c r="BT116" s="18">
        <v>77068</v>
      </c>
      <c r="BU116" s="18">
        <f t="shared" si="270"/>
        <v>77068</v>
      </c>
      <c r="BV116" s="20">
        <f t="shared" si="266"/>
        <v>74068</v>
      </c>
      <c r="BW116" s="17">
        <f t="shared" si="271"/>
        <v>6000</v>
      </c>
      <c r="BX116" s="18">
        <f t="shared" si="271"/>
        <v>115330</v>
      </c>
      <c r="BY116" s="18">
        <f t="shared" si="271"/>
        <v>115330</v>
      </c>
      <c r="BZ116" s="20">
        <f t="shared" si="267"/>
        <v>109330</v>
      </c>
      <c r="CA116" s="17">
        <f t="shared" si="281"/>
        <v>24000</v>
      </c>
      <c r="CB116" s="18">
        <f t="shared" si="281"/>
        <v>268069.07</v>
      </c>
      <c r="CC116" s="43">
        <f t="shared" si="281"/>
        <v>268069.07</v>
      </c>
      <c r="CD116" s="20">
        <f t="shared" si="268"/>
        <v>244069.07</v>
      </c>
      <c r="CG116" s="93"/>
      <c r="CH116" s="93"/>
      <c r="CJ116" s="91">
        <f t="shared" si="282"/>
        <v>3000</v>
      </c>
      <c r="CK116" s="91">
        <f t="shared" si="282"/>
        <v>70668</v>
      </c>
      <c r="CL116" s="91">
        <f t="shared" si="282"/>
        <v>77068</v>
      </c>
      <c r="CM116" s="91">
        <f t="shared" si="282"/>
        <v>67668</v>
      </c>
      <c r="CN116" s="91">
        <f t="shared" si="236"/>
        <v>24000</v>
      </c>
      <c r="CO116" s="91">
        <f t="shared" si="236"/>
        <v>261669.07</v>
      </c>
      <c r="CP116" s="91">
        <f t="shared" si="236"/>
        <v>268069.07</v>
      </c>
      <c r="CQ116" s="91">
        <f t="shared" si="236"/>
        <v>237669.07</v>
      </c>
    </row>
    <row r="117" spans="1:95" ht="16.5" x14ac:dyDescent="0.3">
      <c r="A117" s="49" t="s">
        <v>115</v>
      </c>
      <c r="B117" s="38" t="s">
        <v>162</v>
      </c>
      <c r="C117" s="174">
        <v>1000</v>
      </c>
      <c r="D117" s="18"/>
      <c r="E117" s="43"/>
      <c r="F117" s="170">
        <f t="shared" si="225"/>
        <v>-1000</v>
      </c>
      <c r="G117" s="83">
        <v>1000</v>
      </c>
      <c r="H117" s="18"/>
      <c r="I117" s="43"/>
      <c r="J117" s="19">
        <f t="shared" si="226"/>
        <v>-1000</v>
      </c>
      <c r="K117" s="17">
        <v>1000</v>
      </c>
      <c r="L117" s="18">
        <f>11256.75+10260</f>
        <v>21516.75</v>
      </c>
      <c r="M117" s="43">
        <f>10260+1000+11256</f>
        <v>22516</v>
      </c>
      <c r="N117" s="19">
        <f t="shared" si="248"/>
        <v>20516.75</v>
      </c>
      <c r="O117" s="17">
        <f t="shared" si="249"/>
        <v>3000</v>
      </c>
      <c r="P117" s="43">
        <f t="shared" si="250"/>
        <v>21516.75</v>
      </c>
      <c r="Q117" s="43">
        <f t="shared" si="250"/>
        <v>22516</v>
      </c>
      <c r="R117" s="19">
        <f t="shared" si="251"/>
        <v>18516.75</v>
      </c>
      <c r="S117" s="17">
        <v>1000</v>
      </c>
      <c r="T117" s="18">
        <f>610.5+2587+610.5</f>
        <v>3808</v>
      </c>
      <c r="U117" s="43">
        <v>2587</v>
      </c>
      <c r="V117" s="19">
        <f t="shared" si="252"/>
        <v>2808</v>
      </c>
      <c r="W117" s="17">
        <v>1000</v>
      </c>
      <c r="X117" s="18">
        <v>2827</v>
      </c>
      <c r="Y117" s="37">
        <v>2827</v>
      </c>
      <c r="Z117" s="18">
        <f t="shared" si="253"/>
        <v>1827</v>
      </c>
      <c r="AA117" s="83">
        <v>1000</v>
      </c>
      <c r="AB117" s="18"/>
      <c r="AC117" s="43"/>
      <c r="AD117" s="19">
        <f t="shared" si="254"/>
        <v>-1000</v>
      </c>
      <c r="AE117" s="17">
        <f t="shared" si="278"/>
        <v>3000</v>
      </c>
      <c r="AF117" s="18">
        <f t="shared" si="278"/>
        <v>6635</v>
      </c>
      <c r="AG117" s="18">
        <f t="shared" si="278"/>
        <v>5414</v>
      </c>
      <c r="AH117" s="19">
        <f t="shared" si="255"/>
        <v>3635</v>
      </c>
      <c r="AI117" s="17">
        <f t="shared" si="279"/>
        <v>6000</v>
      </c>
      <c r="AJ117" s="18">
        <f t="shared" si="279"/>
        <v>28151.75</v>
      </c>
      <c r="AK117" s="18">
        <f t="shared" si="279"/>
        <v>27930</v>
      </c>
      <c r="AL117" s="19">
        <f t="shared" si="256"/>
        <v>22151.75</v>
      </c>
      <c r="AM117" s="17">
        <v>1000</v>
      </c>
      <c r="AN117" s="18">
        <v>2800</v>
      </c>
      <c r="AO117" s="18">
        <v>2800</v>
      </c>
      <c r="AP117" s="20">
        <f t="shared" si="257"/>
        <v>1800</v>
      </c>
      <c r="AQ117" s="17">
        <v>1000</v>
      </c>
      <c r="AR117" s="18"/>
      <c r="AS117" s="43"/>
      <c r="AT117" s="20">
        <f t="shared" si="258"/>
        <v>-1000</v>
      </c>
      <c r="AU117" s="17">
        <v>1000</v>
      </c>
      <c r="AV117" s="18">
        <v>1780</v>
      </c>
      <c r="AW117" s="43">
        <v>1780</v>
      </c>
      <c r="AX117" s="20">
        <f t="shared" si="259"/>
        <v>780</v>
      </c>
      <c r="AY117" s="17">
        <f t="shared" si="280"/>
        <v>3000</v>
      </c>
      <c r="AZ117" s="18">
        <f t="shared" si="280"/>
        <v>4580</v>
      </c>
      <c r="BA117" s="18">
        <f t="shared" si="280"/>
        <v>4580</v>
      </c>
      <c r="BB117" s="19">
        <f t="shared" si="260"/>
        <v>1580</v>
      </c>
      <c r="BC117" s="194">
        <f t="shared" si="261"/>
        <v>9000</v>
      </c>
      <c r="BD117" s="124">
        <f t="shared" si="261"/>
        <v>32731.75</v>
      </c>
      <c r="BE117" s="124">
        <f t="shared" si="261"/>
        <v>32510</v>
      </c>
      <c r="BF117" s="170">
        <f t="shared" si="262"/>
        <v>23731.75</v>
      </c>
      <c r="BG117" s="83">
        <v>1000</v>
      </c>
      <c r="BH117" s="18"/>
      <c r="BI117" s="43"/>
      <c r="BJ117" s="41">
        <f t="shared" si="263"/>
        <v>-1000</v>
      </c>
      <c r="BK117" s="44">
        <v>1000</v>
      </c>
      <c r="BL117" s="43">
        <f>1782+2199</f>
        <v>3981</v>
      </c>
      <c r="BM117" s="43">
        <f>1782+2199</f>
        <v>3981</v>
      </c>
      <c r="BN117" s="41">
        <f t="shared" si="264"/>
        <v>2981</v>
      </c>
      <c r="BO117" s="44">
        <v>1000</v>
      </c>
      <c r="BP117" s="43"/>
      <c r="BQ117" s="43"/>
      <c r="BR117" s="41">
        <f t="shared" si="265"/>
        <v>-1000</v>
      </c>
      <c r="BS117" s="17">
        <f t="shared" si="270"/>
        <v>3000</v>
      </c>
      <c r="BT117" s="18">
        <f t="shared" si="270"/>
        <v>3981</v>
      </c>
      <c r="BU117" s="18">
        <f t="shared" si="270"/>
        <v>3981</v>
      </c>
      <c r="BV117" s="20">
        <f t="shared" si="266"/>
        <v>981</v>
      </c>
      <c r="BW117" s="17">
        <f t="shared" si="271"/>
        <v>6000</v>
      </c>
      <c r="BX117" s="18">
        <f t="shared" si="271"/>
        <v>8561</v>
      </c>
      <c r="BY117" s="18">
        <f t="shared" si="271"/>
        <v>8561</v>
      </c>
      <c r="BZ117" s="20">
        <f t="shared" si="267"/>
        <v>2561</v>
      </c>
      <c r="CA117" s="17">
        <f t="shared" si="281"/>
        <v>12000</v>
      </c>
      <c r="CB117" s="18">
        <f t="shared" si="281"/>
        <v>36712.75</v>
      </c>
      <c r="CC117" s="43">
        <f t="shared" si="281"/>
        <v>36491</v>
      </c>
      <c r="CD117" s="20">
        <f t="shared" si="268"/>
        <v>24712.75</v>
      </c>
      <c r="CG117" s="93"/>
      <c r="CH117" s="93"/>
      <c r="CJ117" s="91">
        <f t="shared" si="282"/>
        <v>3000</v>
      </c>
      <c r="CK117" s="91">
        <f t="shared" si="282"/>
        <v>3981</v>
      </c>
      <c r="CL117" s="91">
        <f t="shared" si="282"/>
        <v>3981</v>
      </c>
      <c r="CM117" s="91">
        <f t="shared" si="282"/>
        <v>981</v>
      </c>
      <c r="CN117" s="91">
        <f t="shared" si="236"/>
        <v>12000</v>
      </c>
      <c r="CO117" s="91">
        <f t="shared" si="236"/>
        <v>36712.75</v>
      </c>
      <c r="CP117" s="91">
        <f t="shared" si="236"/>
        <v>36491</v>
      </c>
      <c r="CQ117" s="91">
        <f t="shared" si="236"/>
        <v>24712.75</v>
      </c>
    </row>
    <row r="118" spans="1:95" ht="25.5" x14ac:dyDescent="0.3">
      <c r="A118" s="49" t="s">
        <v>116</v>
      </c>
      <c r="B118" s="38" t="s">
        <v>117</v>
      </c>
      <c r="C118" s="174">
        <v>10000</v>
      </c>
      <c r="D118" s="18">
        <f>400+2650+2200+1335.3</f>
        <v>6585.3</v>
      </c>
      <c r="E118" s="43">
        <f>2650+3100+1335.3</f>
        <v>7085.3</v>
      </c>
      <c r="F118" s="170">
        <f t="shared" si="225"/>
        <v>-3414.7</v>
      </c>
      <c r="G118" s="83">
        <v>10000</v>
      </c>
      <c r="H118" s="18">
        <f>500+44600+500+2250+56</f>
        <v>47906</v>
      </c>
      <c r="I118" s="43">
        <f>2750+44600+56</f>
        <v>47406</v>
      </c>
      <c r="J118" s="19">
        <f t="shared" si="226"/>
        <v>37906</v>
      </c>
      <c r="K118" s="17">
        <v>10000</v>
      </c>
      <c r="L118" s="18">
        <v>3080.8</v>
      </c>
      <c r="M118" s="43">
        <v>3080.8</v>
      </c>
      <c r="N118" s="19">
        <f t="shared" si="248"/>
        <v>-6919.2</v>
      </c>
      <c r="O118" s="17">
        <f t="shared" si="249"/>
        <v>30000</v>
      </c>
      <c r="P118" s="43">
        <f t="shared" si="250"/>
        <v>57572.100000000006</v>
      </c>
      <c r="Q118" s="43">
        <f t="shared" si="250"/>
        <v>57572.100000000006</v>
      </c>
      <c r="R118" s="19">
        <f t="shared" si="251"/>
        <v>27572.100000000006</v>
      </c>
      <c r="S118" s="17">
        <v>10000</v>
      </c>
      <c r="T118" s="18"/>
      <c r="U118" s="43"/>
      <c r="V118" s="19">
        <f t="shared" si="252"/>
        <v>-10000</v>
      </c>
      <c r="W118" s="17">
        <v>10000</v>
      </c>
      <c r="X118" s="18"/>
      <c r="Y118" s="37"/>
      <c r="Z118" s="18">
        <f t="shared" si="253"/>
        <v>-10000</v>
      </c>
      <c r="AA118" s="83">
        <v>10000</v>
      </c>
      <c r="AB118" s="18">
        <v>2900</v>
      </c>
      <c r="AC118" s="43">
        <v>2900</v>
      </c>
      <c r="AD118" s="19">
        <f t="shared" si="254"/>
        <v>-7100</v>
      </c>
      <c r="AE118" s="17">
        <f t="shared" si="278"/>
        <v>30000</v>
      </c>
      <c r="AF118" s="18">
        <f t="shared" si="278"/>
        <v>2900</v>
      </c>
      <c r="AG118" s="18">
        <f t="shared" si="278"/>
        <v>2900</v>
      </c>
      <c r="AH118" s="19">
        <f t="shared" si="255"/>
        <v>-27100</v>
      </c>
      <c r="AI118" s="17">
        <f t="shared" si="279"/>
        <v>60000</v>
      </c>
      <c r="AJ118" s="18">
        <f t="shared" si="279"/>
        <v>60472.100000000006</v>
      </c>
      <c r="AK118" s="18">
        <f t="shared" si="279"/>
        <v>60472.100000000006</v>
      </c>
      <c r="AL118" s="19">
        <f t="shared" si="256"/>
        <v>472.10000000000582</v>
      </c>
      <c r="AM118" s="17">
        <v>10000</v>
      </c>
      <c r="AN118" s="18">
        <f>3790</f>
        <v>3790</v>
      </c>
      <c r="AO118" s="18">
        <f>3790</f>
        <v>3790</v>
      </c>
      <c r="AP118" s="20">
        <f t="shared" si="257"/>
        <v>-6210</v>
      </c>
      <c r="AQ118" s="17">
        <v>10000</v>
      </c>
      <c r="AR118" s="18">
        <v>939.25</v>
      </c>
      <c r="AS118" s="43">
        <v>939.25</v>
      </c>
      <c r="AT118" s="20">
        <f t="shared" si="258"/>
        <v>-9060.75</v>
      </c>
      <c r="AU118" s="17">
        <v>10000</v>
      </c>
      <c r="AV118" s="18">
        <f>2350+1620+4315.2+1273.3</f>
        <v>9558.5</v>
      </c>
      <c r="AW118" s="43">
        <f>2350+1620+4315.2+1273.3</f>
        <v>9558.5</v>
      </c>
      <c r="AX118" s="20">
        <f t="shared" si="259"/>
        <v>-441.5</v>
      </c>
      <c r="AY118" s="17">
        <f t="shared" si="280"/>
        <v>30000</v>
      </c>
      <c r="AZ118" s="18">
        <f t="shared" si="280"/>
        <v>14287.75</v>
      </c>
      <c r="BA118" s="18">
        <f t="shared" si="280"/>
        <v>14287.75</v>
      </c>
      <c r="BB118" s="19">
        <f t="shared" si="260"/>
        <v>-15712.25</v>
      </c>
      <c r="BC118" s="194">
        <f t="shared" si="261"/>
        <v>90000</v>
      </c>
      <c r="BD118" s="124">
        <f t="shared" si="261"/>
        <v>74759.850000000006</v>
      </c>
      <c r="BE118" s="124">
        <f t="shared" si="261"/>
        <v>74759.850000000006</v>
      </c>
      <c r="BF118" s="170">
        <f t="shared" si="262"/>
        <v>-15240.149999999994</v>
      </c>
      <c r="BG118" s="83">
        <v>10000</v>
      </c>
      <c r="BH118" s="18"/>
      <c r="BI118" s="43"/>
      <c r="BJ118" s="41">
        <f t="shared" si="263"/>
        <v>-10000</v>
      </c>
      <c r="BK118" s="44">
        <v>10000</v>
      </c>
      <c r="BL118" s="43">
        <f>3450+2156+250+2030+7809</f>
        <v>15695</v>
      </c>
      <c r="BM118" s="43">
        <f>3700+3936+2650+8059</f>
        <v>18345</v>
      </c>
      <c r="BN118" s="41">
        <f t="shared" si="264"/>
        <v>5695</v>
      </c>
      <c r="BO118" s="44">
        <v>10000</v>
      </c>
      <c r="BP118" s="43">
        <f>257+66291.48+2650</f>
        <v>69198.48</v>
      </c>
      <c r="BQ118" s="43">
        <f>66291.48+257</f>
        <v>66548.479999999996</v>
      </c>
      <c r="BR118" s="41">
        <f t="shared" si="265"/>
        <v>59198.479999999996</v>
      </c>
      <c r="BS118" s="17">
        <f t="shared" si="270"/>
        <v>30000</v>
      </c>
      <c r="BT118" s="18">
        <f t="shared" si="270"/>
        <v>84893.48</v>
      </c>
      <c r="BU118" s="18">
        <f t="shared" si="270"/>
        <v>84893.48</v>
      </c>
      <c r="BV118" s="20">
        <f t="shared" si="266"/>
        <v>54893.479999999996</v>
      </c>
      <c r="BW118" s="17">
        <f t="shared" si="271"/>
        <v>60000</v>
      </c>
      <c r="BX118" s="18">
        <f t="shared" si="271"/>
        <v>99181.23</v>
      </c>
      <c r="BY118" s="18">
        <f t="shared" si="271"/>
        <v>99181.23</v>
      </c>
      <c r="BZ118" s="20">
        <f t="shared" si="267"/>
        <v>39181.229999999996</v>
      </c>
      <c r="CA118" s="17">
        <f t="shared" si="281"/>
        <v>120000</v>
      </c>
      <c r="CB118" s="18">
        <f t="shared" si="281"/>
        <v>159653.33000000002</v>
      </c>
      <c r="CC118" s="43">
        <f t="shared" si="281"/>
        <v>159653.33000000002</v>
      </c>
      <c r="CD118" s="20">
        <f t="shared" si="268"/>
        <v>39653.330000000016</v>
      </c>
      <c r="CG118" s="93"/>
      <c r="CH118" s="93"/>
      <c r="CJ118" s="91">
        <f t="shared" si="282"/>
        <v>30000</v>
      </c>
      <c r="CK118" s="91">
        <f t="shared" si="282"/>
        <v>84893.48</v>
      </c>
      <c r="CL118" s="91">
        <f t="shared" si="282"/>
        <v>84893.48</v>
      </c>
      <c r="CM118" s="91">
        <f t="shared" si="282"/>
        <v>54893.479999999996</v>
      </c>
      <c r="CN118" s="91">
        <f t="shared" si="236"/>
        <v>120000</v>
      </c>
      <c r="CO118" s="91">
        <f t="shared" si="236"/>
        <v>159653.33000000002</v>
      </c>
      <c r="CP118" s="91">
        <f t="shared" si="236"/>
        <v>159653.33000000002</v>
      </c>
      <c r="CQ118" s="91">
        <f t="shared" si="236"/>
        <v>39653.33</v>
      </c>
    </row>
    <row r="119" spans="1:95" ht="16.5" x14ac:dyDescent="0.3">
      <c r="A119" s="49" t="s">
        <v>118</v>
      </c>
      <c r="B119" s="38" t="s">
        <v>119</v>
      </c>
      <c r="C119" s="174">
        <v>1500</v>
      </c>
      <c r="D119" s="18">
        <v>2307.04</v>
      </c>
      <c r="E119" s="43">
        <v>2307.04</v>
      </c>
      <c r="F119" s="170">
        <f t="shared" si="225"/>
        <v>807.04</v>
      </c>
      <c r="G119" s="83">
        <v>1500</v>
      </c>
      <c r="H119" s="18">
        <v>1211</v>
      </c>
      <c r="I119" s="43">
        <v>1211</v>
      </c>
      <c r="J119" s="19">
        <f t="shared" si="226"/>
        <v>-289</v>
      </c>
      <c r="K119" s="17">
        <v>1500</v>
      </c>
      <c r="L119" s="18">
        <v>2854.98</v>
      </c>
      <c r="M119" s="43">
        <v>2854.98</v>
      </c>
      <c r="N119" s="19">
        <f t="shared" si="248"/>
        <v>1354.98</v>
      </c>
      <c r="O119" s="17">
        <f t="shared" si="249"/>
        <v>4500</v>
      </c>
      <c r="P119" s="43">
        <f t="shared" si="250"/>
        <v>6373.02</v>
      </c>
      <c r="Q119" s="43">
        <f t="shared" si="250"/>
        <v>6373.02</v>
      </c>
      <c r="R119" s="19">
        <f t="shared" si="251"/>
        <v>1873.0200000000004</v>
      </c>
      <c r="S119" s="17">
        <v>1500</v>
      </c>
      <c r="T119" s="18">
        <v>132.5</v>
      </c>
      <c r="U119" s="43">
        <v>132.5</v>
      </c>
      <c r="V119" s="19">
        <f t="shared" si="252"/>
        <v>-1367.5</v>
      </c>
      <c r="W119" s="17">
        <v>1500</v>
      </c>
      <c r="X119" s="18"/>
      <c r="Y119" s="37"/>
      <c r="Z119" s="18">
        <f t="shared" si="253"/>
        <v>-1500</v>
      </c>
      <c r="AA119" s="83">
        <v>1500</v>
      </c>
      <c r="AB119" s="18"/>
      <c r="AC119" s="43"/>
      <c r="AD119" s="19">
        <f t="shared" si="254"/>
        <v>-1500</v>
      </c>
      <c r="AE119" s="17">
        <f t="shared" si="278"/>
        <v>4500</v>
      </c>
      <c r="AF119" s="18">
        <f t="shared" si="278"/>
        <v>132.5</v>
      </c>
      <c r="AG119" s="18">
        <f t="shared" si="278"/>
        <v>132.5</v>
      </c>
      <c r="AH119" s="19">
        <f t="shared" si="255"/>
        <v>-4367.5</v>
      </c>
      <c r="AI119" s="17">
        <f t="shared" si="279"/>
        <v>9000</v>
      </c>
      <c r="AJ119" s="18">
        <f t="shared" si="279"/>
        <v>6505.52</v>
      </c>
      <c r="AK119" s="18">
        <f t="shared" si="279"/>
        <v>6505.52</v>
      </c>
      <c r="AL119" s="19">
        <f t="shared" si="256"/>
        <v>-2494.4799999999996</v>
      </c>
      <c r="AM119" s="17">
        <v>1500</v>
      </c>
      <c r="AN119" s="18">
        <f>245+2329.99</f>
        <v>2574.9899999999998</v>
      </c>
      <c r="AO119" s="18">
        <f>245+2329.99</f>
        <v>2574.9899999999998</v>
      </c>
      <c r="AP119" s="20">
        <f t="shared" si="257"/>
        <v>1074.9899999999998</v>
      </c>
      <c r="AQ119" s="17">
        <v>1500</v>
      </c>
      <c r="AR119" s="18">
        <v>95</v>
      </c>
      <c r="AS119" s="43">
        <v>95</v>
      </c>
      <c r="AT119" s="20">
        <f t="shared" si="258"/>
        <v>-1405</v>
      </c>
      <c r="AU119" s="17">
        <v>1500</v>
      </c>
      <c r="AV119" s="18">
        <v>2637.4</v>
      </c>
      <c r="AW119" s="43">
        <f>2550.4+87</f>
        <v>2637.4</v>
      </c>
      <c r="AX119" s="20">
        <f t="shared" si="259"/>
        <v>1137.4000000000001</v>
      </c>
      <c r="AY119" s="17">
        <f t="shared" si="280"/>
        <v>4500</v>
      </c>
      <c r="AZ119" s="18">
        <f t="shared" si="280"/>
        <v>5307.3899999999994</v>
      </c>
      <c r="BA119" s="18">
        <f t="shared" si="280"/>
        <v>5307.3899999999994</v>
      </c>
      <c r="BB119" s="19">
        <f t="shared" si="260"/>
        <v>807.38999999999942</v>
      </c>
      <c r="BC119" s="194">
        <f t="shared" si="261"/>
        <v>13500</v>
      </c>
      <c r="BD119" s="124">
        <f t="shared" si="261"/>
        <v>11812.91</v>
      </c>
      <c r="BE119" s="124">
        <f t="shared" si="261"/>
        <v>11812.91</v>
      </c>
      <c r="BF119" s="170">
        <f t="shared" si="262"/>
        <v>-1687.0900000000001</v>
      </c>
      <c r="BG119" s="83">
        <v>1500</v>
      </c>
      <c r="BH119" s="18"/>
      <c r="BI119" s="43"/>
      <c r="BJ119" s="41">
        <f t="shared" si="263"/>
        <v>-1500</v>
      </c>
      <c r="BK119" s="44">
        <v>1500</v>
      </c>
      <c r="BL119" s="43">
        <v>2519.75</v>
      </c>
      <c r="BM119" s="43">
        <v>2519.75</v>
      </c>
      <c r="BN119" s="41">
        <f t="shared" si="264"/>
        <v>1019.75</v>
      </c>
      <c r="BO119" s="44">
        <v>1500</v>
      </c>
      <c r="BP119" s="43">
        <v>4085.4</v>
      </c>
      <c r="BQ119" s="43">
        <v>4085.4</v>
      </c>
      <c r="BR119" s="41">
        <f t="shared" si="265"/>
        <v>2585.4</v>
      </c>
      <c r="BS119" s="17">
        <f t="shared" si="270"/>
        <v>4500</v>
      </c>
      <c r="BT119" s="18">
        <f t="shared" si="270"/>
        <v>6605.15</v>
      </c>
      <c r="BU119" s="18">
        <f t="shared" si="270"/>
        <v>6605.15</v>
      </c>
      <c r="BV119" s="20">
        <f t="shared" si="266"/>
        <v>2105.1499999999996</v>
      </c>
      <c r="BW119" s="17">
        <f t="shared" si="271"/>
        <v>9000</v>
      </c>
      <c r="BX119" s="18">
        <f t="shared" si="271"/>
        <v>11912.539999999999</v>
      </c>
      <c r="BY119" s="18">
        <f t="shared" si="271"/>
        <v>11912.539999999999</v>
      </c>
      <c r="BZ119" s="20">
        <f t="shared" si="267"/>
        <v>2912.5399999999991</v>
      </c>
      <c r="CA119" s="17">
        <f t="shared" si="281"/>
        <v>18000</v>
      </c>
      <c r="CB119" s="18">
        <f t="shared" si="281"/>
        <v>18418.059999999998</v>
      </c>
      <c r="CC119" s="43">
        <f t="shared" si="281"/>
        <v>18418.059999999998</v>
      </c>
      <c r="CD119" s="20">
        <f t="shared" si="268"/>
        <v>418.05999999999767</v>
      </c>
      <c r="CG119" s="93"/>
      <c r="CH119" s="93"/>
      <c r="CJ119" s="91">
        <f t="shared" si="282"/>
        <v>4500</v>
      </c>
      <c r="CK119" s="91">
        <f t="shared" si="282"/>
        <v>6605.15</v>
      </c>
      <c r="CL119" s="91">
        <f t="shared" si="282"/>
        <v>6605.15</v>
      </c>
      <c r="CM119" s="91">
        <f t="shared" si="282"/>
        <v>2105.15</v>
      </c>
      <c r="CN119" s="91">
        <f t="shared" si="236"/>
        <v>18000</v>
      </c>
      <c r="CO119" s="91">
        <f t="shared" si="236"/>
        <v>18418.059999999998</v>
      </c>
      <c r="CP119" s="91">
        <f t="shared" si="236"/>
        <v>18418.059999999998</v>
      </c>
      <c r="CQ119" s="91">
        <f t="shared" si="236"/>
        <v>418.05999999999995</v>
      </c>
    </row>
    <row r="120" spans="1:95" ht="16.5" x14ac:dyDescent="0.3">
      <c r="A120" s="49" t="s">
        <v>120</v>
      </c>
      <c r="B120" s="38" t="s">
        <v>121</v>
      </c>
      <c r="C120" s="174">
        <v>6000</v>
      </c>
      <c r="D120" s="18">
        <v>3654.5</v>
      </c>
      <c r="E120" s="43">
        <f>78+3576.5</f>
        <v>3654.5</v>
      </c>
      <c r="F120" s="170">
        <f t="shared" si="225"/>
        <v>-2345.5</v>
      </c>
      <c r="G120" s="83">
        <v>6000</v>
      </c>
      <c r="H120" s="43">
        <v>3733.7</v>
      </c>
      <c r="I120" s="43">
        <v>3733.7</v>
      </c>
      <c r="J120" s="19">
        <f t="shared" si="226"/>
        <v>-2266.3000000000002</v>
      </c>
      <c r="K120" s="17">
        <v>6000</v>
      </c>
      <c r="L120" s="18">
        <v>3994.17</v>
      </c>
      <c r="M120" s="43">
        <v>3994.17</v>
      </c>
      <c r="N120" s="19">
        <f t="shared" si="248"/>
        <v>-2005.83</v>
      </c>
      <c r="O120" s="17">
        <f t="shared" si="249"/>
        <v>18000</v>
      </c>
      <c r="P120" s="43">
        <f t="shared" si="250"/>
        <v>11382.369999999999</v>
      </c>
      <c r="Q120" s="43">
        <f t="shared" si="250"/>
        <v>11382.369999999999</v>
      </c>
      <c r="R120" s="19">
        <f t="shared" si="251"/>
        <v>-6617.630000000001</v>
      </c>
      <c r="S120" s="17">
        <v>6000</v>
      </c>
      <c r="T120" s="18">
        <v>6000.92</v>
      </c>
      <c r="U120" s="43">
        <v>6000.92</v>
      </c>
      <c r="V120" s="19">
        <f t="shared" si="252"/>
        <v>0.92000000000007276</v>
      </c>
      <c r="W120" s="17">
        <v>6000</v>
      </c>
      <c r="X120" s="18">
        <v>3718.55</v>
      </c>
      <c r="Y120" s="37">
        <v>3718.55</v>
      </c>
      <c r="Z120" s="18">
        <f t="shared" si="253"/>
        <v>-2281.4499999999998</v>
      </c>
      <c r="AA120" s="83">
        <v>6000</v>
      </c>
      <c r="AB120" s="18">
        <v>3654.42</v>
      </c>
      <c r="AC120" s="43">
        <v>3654.42</v>
      </c>
      <c r="AD120" s="19">
        <f t="shared" si="254"/>
        <v>-2345.58</v>
      </c>
      <c r="AE120" s="17">
        <f t="shared" si="278"/>
        <v>18000</v>
      </c>
      <c r="AF120" s="18">
        <f t="shared" si="278"/>
        <v>13373.890000000001</v>
      </c>
      <c r="AG120" s="18">
        <f t="shared" si="278"/>
        <v>13373.890000000001</v>
      </c>
      <c r="AH120" s="19">
        <f t="shared" si="255"/>
        <v>-4626.1099999999988</v>
      </c>
      <c r="AI120" s="17">
        <f t="shared" si="279"/>
        <v>36000</v>
      </c>
      <c r="AJ120" s="18">
        <f t="shared" si="279"/>
        <v>24756.260000000002</v>
      </c>
      <c r="AK120" s="18">
        <f t="shared" si="279"/>
        <v>24756.260000000002</v>
      </c>
      <c r="AL120" s="19">
        <f t="shared" si="256"/>
        <v>-11243.739999999998</v>
      </c>
      <c r="AM120" s="17">
        <v>6000</v>
      </c>
      <c r="AN120" s="18">
        <v>3944.41</v>
      </c>
      <c r="AO120" s="18">
        <v>3944.41</v>
      </c>
      <c r="AP120" s="20">
        <f t="shared" si="257"/>
        <v>-2055.59</v>
      </c>
      <c r="AQ120" s="17">
        <v>6000</v>
      </c>
      <c r="AR120" s="18">
        <v>3752.64</v>
      </c>
      <c r="AS120" s="43">
        <v>3752.64</v>
      </c>
      <c r="AT120" s="20">
        <f t="shared" si="258"/>
        <v>-2247.36</v>
      </c>
      <c r="AU120" s="17">
        <v>6000</v>
      </c>
      <c r="AV120" s="18">
        <v>4118.5600000000004</v>
      </c>
      <c r="AW120" s="43">
        <v>4118.5600000000004</v>
      </c>
      <c r="AX120" s="20">
        <f t="shared" si="259"/>
        <v>-1881.4399999999996</v>
      </c>
      <c r="AY120" s="17">
        <f t="shared" si="280"/>
        <v>18000</v>
      </c>
      <c r="AZ120" s="18">
        <f t="shared" si="280"/>
        <v>11815.61</v>
      </c>
      <c r="BA120" s="18">
        <f t="shared" si="280"/>
        <v>11815.61</v>
      </c>
      <c r="BB120" s="19">
        <f t="shared" si="260"/>
        <v>-6184.3899999999994</v>
      </c>
      <c r="BC120" s="194">
        <f t="shared" si="261"/>
        <v>54000</v>
      </c>
      <c r="BD120" s="124">
        <f t="shared" si="261"/>
        <v>36571.870000000003</v>
      </c>
      <c r="BE120" s="124">
        <f t="shared" si="261"/>
        <v>36571.870000000003</v>
      </c>
      <c r="BF120" s="170">
        <f t="shared" si="262"/>
        <v>-17428.129999999997</v>
      </c>
      <c r="BG120" s="83">
        <v>6000</v>
      </c>
      <c r="BH120" s="18">
        <v>1874.35</v>
      </c>
      <c r="BI120" s="43">
        <v>1874.35</v>
      </c>
      <c r="BJ120" s="41">
        <f t="shared" si="263"/>
        <v>-4125.6499999999996</v>
      </c>
      <c r="BK120" s="44">
        <v>6000</v>
      </c>
      <c r="BL120" s="43">
        <v>4293.92</v>
      </c>
      <c r="BM120" s="43">
        <v>4293.92</v>
      </c>
      <c r="BN120" s="41">
        <f t="shared" si="264"/>
        <v>-1706.08</v>
      </c>
      <c r="BO120" s="44">
        <v>6000</v>
      </c>
      <c r="BP120" s="43">
        <v>6998.72</v>
      </c>
      <c r="BQ120" s="43">
        <v>6998.72</v>
      </c>
      <c r="BR120" s="41">
        <f t="shared" si="265"/>
        <v>998.72000000000025</v>
      </c>
      <c r="BS120" s="17">
        <f t="shared" si="270"/>
        <v>18000</v>
      </c>
      <c r="BT120" s="18">
        <f t="shared" si="270"/>
        <v>13166.990000000002</v>
      </c>
      <c r="BU120" s="18">
        <f t="shared" si="270"/>
        <v>13166.990000000002</v>
      </c>
      <c r="BV120" s="20">
        <f t="shared" si="266"/>
        <v>-4833.0099999999984</v>
      </c>
      <c r="BW120" s="17">
        <f t="shared" si="271"/>
        <v>36000</v>
      </c>
      <c r="BX120" s="18">
        <f t="shared" si="271"/>
        <v>24982.600000000002</v>
      </c>
      <c r="BY120" s="18">
        <f t="shared" si="271"/>
        <v>24982.600000000002</v>
      </c>
      <c r="BZ120" s="20">
        <f t="shared" si="267"/>
        <v>-11017.399999999998</v>
      </c>
      <c r="CA120" s="17">
        <f t="shared" si="281"/>
        <v>72000</v>
      </c>
      <c r="CB120" s="18">
        <f t="shared" si="281"/>
        <v>49738.86</v>
      </c>
      <c r="CC120" s="43">
        <f t="shared" si="281"/>
        <v>49738.86</v>
      </c>
      <c r="CD120" s="20">
        <f t="shared" si="268"/>
        <v>-22261.14</v>
      </c>
      <c r="CG120" s="93"/>
      <c r="CH120" s="93"/>
      <c r="CJ120" s="91">
        <f t="shared" si="282"/>
        <v>18000</v>
      </c>
      <c r="CK120" s="91">
        <f t="shared" si="282"/>
        <v>13166.990000000002</v>
      </c>
      <c r="CL120" s="91">
        <f t="shared" si="282"/>
        <v>13166.990000000002</v>
      </c>
      <c r="CM120" s="91">
        <f t="shared" si="282"/>
        <v>-4833.0099999999993</v>
      </c>
      <c r="CN120" s="91">
        <f t="shared" si="236"/>
        <v>72000</v>
      </c>
      <c r="CO120" s="91">
        <f t="shared" si="236"/>
        <v>49738.86</v>
      </c>
      <c r="CP120" s="91">
        <f t="shared" si="236"/>
        <v>49738.86</v>
      </c>
      <c r="CQ120" s="91">
        <f t="shared" si="236"/>
        <v>-22261.139999999996</v>
      </c>
    </row>
    <row r="121" spans="1:95" ht="16.5" x14ac:dyDescent="0.3">
      <c r="A121" s="49" t="s">
        <v>122</v>
      </c>
      <c r="B121" s="38" t="s">
        <v>123</v>
      </c>
      <c r="C121" s="174">
        <v>3500</v>
      </c>
      <c r="D121" s="18">
        <f>1500+1781.71</f>
        <v>3281.71</v>
      </c>
      <c r="E121" s="43">
        <v>3500</v>
      </c>
      <c r="F121" s="170">
        <f t="shared" si="225"/>
        <v>-218.28999999999996</v>
      </c>
      <c r="G121" s="83">
        <v>3500</v>
      </c>
      <c r="H121" s="18">
        <f>1916.55+1500</f>
        <v>3416.55</v>
      </c>
      <c r="I121" s="43">
        <v>3500</v>
      </c>
      <c r="J121" s="19">
        <f t="shared" si="226"/>
        <v>-83.449999999999818</v>
      </c>
      <c r="K121" s="17">
        <v>3500</v>
      </c>
      <c r="L121" s="18">
        <f>1500+1896.25</f>
        <v>3396.25</v>
      </c>
      <c r="M121" s="43">
        <v>3500</v>
      </c>
      <c r="N121" s="19">
        <f t="shared" si="248"/>
        <v>-103.75</v>
      </c>
      <c r="O121" s="17">
        <f t="shared" si="249"/>
        <v>10500</v>
      </c>
      <c r="P121" s="43">
        <f t="shared" si="250"/>
        <v>10094.51</v>
      </c>
      <c r="Q121" s="43">
        <f t="shared" si="250"/>
        <v>10500</v>
      </c>
      <c r="R121" s="19">
        <f t="shared" si="251"/>
        <v>-405.48999999999978</v>
      </c>
      <c r="S121" s="17">
        <v>3500</v>
      </c>
      <c r="T121" s="18">
        <f>1500+1711.27</f>
        <v>3211.27</v>
      </c>
      <c r="U121" s="43">
        <v>3500</v>
      </c>
      <c r="V121" s="19">
        <f t="shared" si="252"/>
        <v>-288.73</v>
      </c>
      <c r="W121" s="17">
        <v>3500</v>
      </c>
      <c r="X121" s="18">
        <f>1500+1781.38</f>
        <v>3281.38</v>
      </c>
      <c r="Y121" s="37">
        <v>3500</v>
      </c>
      <c r="Z121" s="18">
        <f t="shared" si="253"/>
        <v>-218.61999999999989</v>
      </c>
      <c r="AA121" s="83">
        <v>3500</v>
      </c>
      <c r="AB121" s="18">
        <f>1500+1853.54</f>
        <v>3353.54</v>
      </c>
      <c r="AC121" s="43">
        <v>3500</v>
      </c>
      <c r="AD121" s="19">
        <f t="shared" si="254"/>
        <v>-146.46000000000004</v>
      </c>
      <c r="AE121" s="17">
        <f t="shared" si="278"/>
        <v>10500</v>
      </c>
      <c r="AF121" s="18">
        <f t="shared" si="278"/>
        <v>9846.1899999999987</v>
      </c>
      <c r="AG121" s="18">
        <f t="shared" si="278"/>
        <v>10500</v>
      </c>
      <c r="AH121" s="19">
        <f t="shared" si="255"/>
        <v>-653.81000000000131</v>
      </c>
      <c r="AI121" s="17">
        <f t="shared" si="279"/>
        <v>21000</v>
      </c>
      <c r="AJ121" s="18">
        <f t="shared" si="279"/>
        <v>19940.699999999997</v>
      </c>
      <c r="AK121" s="18">
        <f t="shared" si="279"/>
        <v>21000</v>
      </c>
      <c r="AL121" s="19">
        <f t="shared" si="256"/>
        <v>-1059.3000000000029</v>
      </c>
      <c r="AM121" s="17">
        <v>3500</v>
      </c>
      <c r="AN121" s="18">
        <f>1500+1860.62</f>
        <v>3360.62</v>
      </c>
      <c r="AO121" s="18">
        <v>3500</v>
      </c>
      <c r="AP121" s="20">
        <f t="shared" si="257"/>
        <v>-139.38000000000011</v>
      </c>
      <c r="AQ121" s="17">
        <v>3500</v>
      </c>
      <c r="AR121" s="18">
        <f>1807.96+1500</f>
        <v>3307.96</v>
      </c>
      <c r="AS121" s="43">
        <v>3500</v>
      </c>
      <c r="AT121" s="20">
        <f t="shared" si="258"/>
        <v>-192.03999999999996</v>
      </c>
      <c r="AU121" s="17">
        <v>3500</v>
      </c>
      <c r="AV121" s="18">
        <v>3493.86</v>
      </c>
      <c r="AW121" s="43">
        <v>3000</v>
      </c>
      <c r="AX121" s="20">
        <f t="shared" si="259"/>
        <v>-6.1399999999998727</v>
      </c>
      <c r="AY121" s="17">
        <f t="shared" si="280"/>
        <v>10500</v>
      </c>
      <c r="AZ121" s="18">
        <f t="shared" si="280"/>
        <v>10162.44</v>
      </c>
      <c r="BA121" s="18">
        <f t="shared" si="280"/>
        <v>10000</v>
      </c>
      <c r="BB121" s="19">
        <f t="shared" si="260"/>
        <v>-337.55999999999949</v>
      </c>
      <c r="BC121" s="194">
        <f t="shared" si="261"/>
        <v>31500</v>
      </c>
      <c r="BD121" s="124">
        <f t="shared" si="261"/>
        <v>30103.14</v>
      </c>
      <c r="BE121" s="124">
        <f t="shared" si="261"/>
        <v>31000</v>
      </c>
      <c r="BF121" s="170">
        <f t="shared" si="262"/>
        <v>-1396.8600000000006</v>
      </c>
      <c r="BG121" s="83">
        <v>3500</v>
      </c>
      <c r="BH121" s="18"/>
      <c r="BI121" s="43"/>
      <c r="BJ121" s="41">
        <f t="shared" si="263"/>
        <v>-3500</v>
      </c>
      <c r="BK121" s="44">
        <v>3500</v>
      </c>
      <c r="BL121" s="43">
        <f>1500+1792.28</f>
        <v>3292.2799999999997</v>
      </c>
      <c r="BM121" s="43">
        <v>6000</v>
      </c>
      <c r="BN121" s="41">
        <f t="shared" si="264"/>
        <v>-207.72000000000025</v>
      </c>
      <c r="BO121" s="44">
        <v>3500</v>
      </c>
      <c r="BP121" s="43">
        <v>3279.91</v>
      </c>
      <c r="BQ121" s="43">
        <v>3500</v>
      </c>
      <c r="BR121" s="41">
        <f t="shared" si="265"/>
        <v>-220.09000000000015</v>
      </c>
      <c r="BS121" s="17">
        <f t="shared" si="270"/>
        <v>10500</v>
      </c>
      <c r="BT121" s="18">
        <f t="shared" si="270"/>
        <v>6572.19</v>
      </c>
      <c r="BU121" s="18">
        <f t="shared" si="270"/>
        <v>9500</v>
      </c>
      <c r="BV121" s="20">
        <f t="shared" si="266"/>
        <v>-3927.8100000000004</v>
      </c>
      <c r="BW121" s="17">
        <f t="shared" si="271"/>
        <v>21000</v>
      </c>
      <c r="BX121" s="18">
        <f t="shared" si="271"/>
        <v>16734.63</v>
      </c>
      <c r="BY121" s="18">
        <f t="shared" si="271"/>
        <v>19500</v>
      </c>
      <c r="BZ121" s="20">
        <f t="shared" si="267"/>
        <v>-4265.369999999999</v>
      </c>
      <c r="CA121" s="17">
        <f t="shared" si="281"/>
        <v>42000</v>
      </c>
      <c r="CB121" s="18">
        <f t="shared" si="281"/>
        <v>36675.33</v>
      </c>
      <c r="CC121" s="43">
        <f t="shared" si="281"/>
        <v>40500</v>
      </c>
      <c r="CD121" s="20">
        <f t="shared" si="268"/>
        <v>-5324.6699999999983</v>
      </c>
      <c r="CG121" s="93"/>
      <c r="CH121" s="93"/>
      <c r="CJ121" s="91">
        <f t="shared" si="282"/>
        <v>10500</v>
      </c>
      <c r="CK121" s="91">
        <f t="shared" si="282"/>
        <v>6572.19</v>
      </c>
      <c r="CL121" s="91">
        <f t="shared" si="282"/>
        <v>9500</v>
      </c>
      <c r="CM121" s="91">
        <f t="shared" si="282"/>
        <v>-3927.8100000000004</v>
      </c>
      <c r="CN121" s="91">
        <f t="shared" si="236"/>
        <v>42000</v>
      </c>
      <c r="CO121" s="91">
        <f t="shared" si="236"/>
        <v>36675.33</v>
      </c>
      <c r="CP121" s="91">
        <f t="shared" si="236"/>
        <v>40500</v>
      </c>
      <c r="CQ121" s="91">
        <f t="shared" si="236"/>
        <v>-5324.670000000001</v>
      </c>
    </row>
    <row r="122" spans="1:95" ht="16.5" customHeight="1" x14ac:dyDescent="0.3">
      <c r="A122" s="49" t="s">
        <v>124</v>
      </c>
      <c r="B122" s="38" t="s">
        <v>125</v>
      </c>
      <c r="C122" s="174"/>
      <c r="D122" s="18"/>
      <c r="E122" s="43"/>
      <c r="F122" s="170">
        <f t="shared" si="225"/>
        <v>0</v>
      </c>
      <c r="G122" s="83"/>
      <c r="H122" s="18"/>
      <c r="I122" s="43"/>
      <c r="J122" s="19">
        <f t="shared" si="226"/>
        <v>0</v>
      </c>
      <c r="K122" s="17"/>
      <c r="L122" s="18"/>
      <c r="M122" s="43"/>
      <c r="N122" s="19">
        <f t="shared" si="248"/>
        <v>0</v>
      </c>
      <c r="O122" s="17">
        <f t="shared" si="249"/>
        <v>0</v>
      </c>
      <c r="P122" s="43">
        <f t="shared" si="250"/>
        <v>0</v>
      </c>
      <c r="Q122" s="43">
        <f t="shared" si="250"/>
        <v>0</v>
      </c>
      <c r="R122" s="19">
        <f t="shared" si="251"/>
        <v>0</v>
      </c>
      <c r="S122" s="17"/>
      <c r="T122" s="18"/>
      <c r="U122" s="43"/>
      <c r="V122" s="19">
        <f t="shared" si="252"/>
        <v>0</v>
      </c>
      <c r="W122" s="17"/>
      <c r="X122" s="18"/>
      <c r="Y122" s="37"/>
      <c r="Z122" s="18">
        <f t="shared" si="253"/>
        <v>0</v>
      </c>
      <c r="AA122" s="83"/>
      <c r="AB122" s="18"/>
      <c r="AC122" s="43"/>
      <c r="AD122" s="19">
        <f t="shared" si="254"/>
        <v>0</v>
      </c>
      <c r="AE122" s="17">
        <f t="shared" si="278"/>
        <v>0</v>
      </c>
      <c r="AF122" s="18">
        <f t="shared" si="278"/>
        <v>0</v>
      </c>
      <c r="AG122" s="18">
        <f t="shared" si="278"/>
        <v>0</v>
      </c>
      <c r="AH122" s="19">
        <f t="shared" si="255"/>
        <v>0</v>
      </c>
      <c r="AI122" s="17">
        <f t="shared" si="279"/>
        <v>0</v>
      </c>
      <c r="AJ122" s="18">
        <f t="shared" si="279"/>
        <v>0</v>
      </c>
      <c r="AK122" s="18">
        <f t="shared" si="279"/>
        <v>0</v>
      </c>
      <c r="AL122" s="19">
        <f t="shared" si="256"/>
        <v>0</v>
      </c>
      <c r="AM122" s="17"/>
      <c r="AN122" s="18"/>
      <c r="AO122" s="18"/>
      <c r="AP122" s="20">
        <f t="shared" si="257"/>
        <v>0</v>
      </c>
      <c r="AQ122" s="17"/>
      <c r="AR122" s="18"/>
      <c r="AS122" s="43"/>
      <c r="AT122" s="20">
        <f t="shared" si="258"/>
        <v>0</v>
      </c>
      <c r="AU122" s="17"/>
      <c r="AV122" s="18"/>
      <c r="AW122" s="43"/>
      <c r="AX122" s="20">
        <f t="shared" si="259"/>
        <v>0</v>
      </c>
      <c r="AY122" s="17">
        <f t="shared" si="280"/>
        <v>0</v>
      </c>
      <c r="AZ122" s="18">
        <f t="shared" si="280"/>
        <v>0</v>
      </c>
      <c r="BA122" s="18">
        <f t="shared" si="280"/>
        <v>0</v>
      </c>
      <c r="BB122" s="19">
        <f t="shared" si="260"/>
        <v>0</v>
      </c>
      <c r="BC122" s="194">
        <f t="shared" si="261"/>
        <v>0</v>
      </c>
      <c r="BD122" s="124">
        <f t="shared" si="261"/>
        <v>0</v>
      </c>
      <c r="BE122" s="124">
        <f t="shared" si="261"/>
        <v>0</v>
      </c>
      <c r="BF122" s="170">
        <f t="shared" si="262"/>
        <v>0</v>
      </c>
      <c r="BG122" s="83"/>
      <c r="BH122" s="18"/>
      <c r="BI122" s="43"/>
      <c r="BJ122" s="41">
        <f t="shared" si="263"/>
        <v>0</v>
      </c>
      <c r="BK122" s="44"/>
      <c r="BL122" s="43"/>
      <c r="BM122" s="43"/>
      <c r="BN122" s="41">
        <f t="shared" si="264"/>
        <v>0</v>
      </c>
      <c r="BO122" s="44"/>
      <c r="BP122" s="43"/>
      <c r="BQ122" s="43"/>
      <c r="BR122" s="41">
        <f t="shared" si="265"/>
        <v>0</v>
      </c>
      <c r="BS122" s="17">
        <f t="shared" si="270"/>
        <v>0</v>
      </c>
      <c r="BT122" s="18">
        <f t="shared" si="270"/>
        <v>0</v>
      </c>
      <c r="BU122" s="18">
        <f t="shared" si="270"/>
        <v>0</v>
      </c>
      <c r="BV122" s="20">
        <f t="shared" si="266"/>
        <v>0</v>
      </c>
      <c r="BW122" s="17">
        <f t="shared" si="271"/>
        <v>0</v>
      </c>
      <c r="BX122" s="18">
        <f t="shared" si="271"/>
        <v>0</v>
      </c>
      <c r="BY122" s="18">
        <f t="shared" si="271"/>
        <v>0</v>
      </c>
      <c r="BZ122" s="20">
        <f t="shared" si="267"/>
        <v>0</v>
      </c>
      <c r="CA122" s="17">
        <f t="shared" si="281"/>
        <v>0</v>
      </c>
      <c r="CB122" s="18">
        <f t="shared" si="281"/>
        <v>0</v>
      </c>
      <c r="CC122" s="43">
        <f t="shared" si="281"/>
        <v>0</v>
      </c>
      <c r="CD122" s="20">
        <f t="shared" si="268"/>
        <v>0</v>
      </c>
      <c r="CG122" s="93"/>
      <c r="CH122" s="93"/>
      <c r="CJ122" s="91">
        <f t="shared" si="282"/>
        <v>0</v>
      </c>
      <c r="CK122" s="91">
        <f t="shared" si="282"/>
        <v>0</v>
      </c>
      <c r="CL122" s="91">
        <f t="shared" si="282"/>
        <v>0</v>
      </c>
      <c r="CM122" s="91">
        <f t="shared" si="282"/>
        <v>0</v>
      </c>
      <c r="CN122" s="91">
        <f t="shared" si="236"/>
        <v>0</v>
      </c>
      <c r="CO122" s="91">
        <f t="shared" si="236"/>
        <v>0</v>
      </c>
      <c r="CP122" s="91">
        <f t="shared" si="236"/>
        <v>0</v>
      </c>
      <c r="CQ122" s="91">
        <f t="shared" si="236"/>
        <v>0</v>
      </c>
    </row>
    <row r="123" spans="1:95" ht="16.5" x14ac:dyDescent="0.3">
      <c r="A123" s="49" t="s">
        <v>124</v>
      </c>
      <c r="B123" s="38" t="s">
        <v>126</v>
      </c>
      <c r="C123" s="174">
        <v>1500</v>
      </c>
      <c r="D123" s="18">
        <v>1220</v>
      </c>
      <c r="E123" s="43">
        <v>1220</v>
      </c>
      <c r="F123" s="170">
        <f t="shared" si="225"/>
        <v>-280</v>
      </c>
      <c r="G123" s="83">
        <v>1500</v>
      </c>
      <c r="H123" s="18">
        <v>2220</v>
      </c>
      <c r="I123" s="43">
        <v>2220</v>
      </c>
      <c r="J123" s="19">
        <f t="shared" si="226"/>
        <v>720</v>
      </c>
      <c r="K123" s="17">
        <v>1500</v>
      </c>
      <c r="L123" s="18">
        <v>1070</v>
      </c>
      <c r="M123" s="43">
        <v>1070</v>
      </c>
      <c r="N123" s="19">
        <f t="shared" si="248"/>
        <v>-430</v>
      </c>
      <c r="O123" s="17">
        <f t="shared" si="249"/>
        <v>4500</v>
      </c>
      <c r="P123" s="43">
        <f t="shared" si="250"/>
        <v>4510</v>
      </c>
      <c r="Q123" s="43">
        <f t="shared" si="250"/>
        <v>4510</v>
      </c>
      <c r="R123" s="19">
        <f t="shared" si="251"/>
        <v>10</v>
      </c>
      <c r="S123" s="17">
        <v>1500</v>
      </c>
      <c r="T123" s="18">
        <v>400</v>
      </c>
      <c r="U123" s="43">
        <v>400</v>
      </c>
      <c r="V123" s="19">
        <f t="shared" si="252"/>
        <v>-1100</v>
      </c>
      <c r="W123" s="17">
        <v>1500</v>
      </c>
      <c r="X123" s="18">
        <v>750</v>
      </c>
      <c r="Y123" s="37">
        <v>750</v>
      </c>
      <c r="Z123" s="18">
        <f t="shared" si="253"/>
        <v>-750</v>
      </c>
      <c r="AA123" s="83">
        <v>1500</v>
      </c>
      <c r="AB123" s="18">
        <v>600</v>
      </c>
      <c r="AC123" s="43">
        <v>600</v>
      </c>
      <c r="AD123" s="19">
        <f t="shared" si="254"/>
        <v>-900</v>
      </c>
      <c r="AE123" s="17">
        <f t="shared" si="278"/>
        <v>4500</v>
      </c>
      <c r="AF123" s="18">
        <f t="shared" si="278"/>
        <v>1750</v>
      </c>
      <c r="AG123" s="18">
        <f t="shared" si="278"/>
        <v>1750</v>
      </c>
      <c r="AH123" s="19">
        <f t="shared" si="255"/>
        <v>-2750</v>
      </c>
      <c r="AI123" s="17">
        <f t="shared" si="279"/>
        <v>9000</v>
      </c>
      <c r="AJ123" s="18">
        <f t="shared" si="279"/>
        <v>6260</v>
      </c>
      <c r="AK123" s="18">
        <f t="shared" si="279"/>
        <v>6260</v>
      </c>
      <c r="AL123" s="19">
        <f t="shared" si="256"/>
        <v>-2740</v>
      </c>
      <c r="AM123" s="17">
        <v>1500</v>
      </c>
      <c r="AN123" s="18">
        <v>800</v>
      </c>
      <c r="AO123" s="18">
        <v>800</v>
      </c>
      <c r="AP123" s="20">
        <f t="shared" si="257"/>
        <v>-700</v>
      </c>
      <c r="AQ123" s="17">
        <v>1500</v>
      </c>
      <c r="AR123" s="18">
        <v>2188</v>
      </c>
      <c r="AS123" s="43">
        <v>2188</v>
      </c>
      <c r="AT123" s="20">
        <f t="shared" si="258"/>
        <v>688</v>
      </c>
      <c r="AU123" s="17">
        <v>1500</v>
      </c>
      <c r="AV123" s="18">
        <v>1370</v>
      </c>
      <c r="AW123" s="43">
        <v>1370</v>
      </c>
      <c r="AX123" s="20">
        <f t="shared" si="259"/>
        <v>-130</v>
      </c>
      <c r="AY123" s="17">
        <f t="shared" si="280"/>
        <v>4500</v>
      </c>
      <c r="AZ123" s="18">
        <f t="shared" si="280"/>
        <v>4358</v>
      </c>
      <c r="BA123" s="18">
        <f t="shared" si="280"/>
        <v>4358</v>
      </c>
      <c r="BB123" s="19">
        <f t="shared" si="260"/>
        <v>-142</v>
      </c>
      <c r="BC123" s="194">
        <f t="shared" si="261"/>
        <v>13500</v>
      </c>
      <c r="BD123" s="124">
        <f t="shared" si="261"/>
        <v>10618</v>
      </c>
      <c r="BE123" s="124">
        <f t="shared" si="261"/>
        <v>10618</v>
      </c>
      <c r="BF123" s="170">
        <f t="shared" si="262"/>
        <v>-2882</v>
      </c>
      <c r="BG123" s="83">
        <v>1500</v>
      </c>
      <c r="BH123" s="18">
        <v>800</v>
      </c>
      <c r="BI123" s="43">
        <v>800</v>
      </c>
      <c r="BJ123" s="41">
        <f t="shared" si="263"/>
        <v>-700</v>
      </c>
      <c r="BK123" s="44">
        <v>1500</v>
      </c>
      <c r="BL123" s="43">
        <v>1370</v>
      </c>
      <c r="BM123" s="43">
        <v>1370</v>
      </c>
      <c r="BN123" s="41">
        <f t="shared" si="264"/>
        <v>-130</v>
      </c>
      <c r="BO123" s="44">
        <v>1500</v>
      </c>
      <c r="BP123" s="43">
        <v>1570</v>
      </c>
      <c r="BQ123" s="43">
        <v>1570</v>
      </c>
      <c r="BR123" s="41">
        <f t="shared" si="265"/>
        <v>70</v>
      </c>
      <c r="BS123" s="17">
        <f t="shared" si="270"/>
        <v>4500</v>
      </c>
      <c r="BT123" s="18">
        <f t="shared" si="270"/>
        <v>3740</v>
      </c>
      <c r="BU123" s="18">
        <f t="shared" si="270"/>
        <v>3740</v>
      </c>
      <c r="BV123" s="20">
        <f t="shared" si="266"/>
        <v>-760</v>
      </c>
      <c r="BW123" s="17">
        <f t="shared" si="271"/>
        <v>9000</v>
      </c>
      <c r="BX123" s="18">
        <f t="shared" si="271"/>
        <v>8098</v>
      </c>
      <c r="BY123" s="18">
        <f t="shared" si="271"/>
        <v>8098</v>
      </c>
      <c r="BZ123" s="20">
        <f t="shared" si="267"/>
        <v>-902</v>
      </c>
      <c r="CA123" s="17">
        <f t="shared" si="281"/>
        <v>18000</v>
      </c>
      <c r="CB123" s="18">
        <f t="shared" si="281"/>
        <v>14358</v>
      </c>
      <c r="CC123" s="43">
        <f t="shared" si="281"/>
        <v>14358</v>
      </c>
      <c r="CD123" s="20">
        <f t="shared" si="268"/>
        <v>-3642</v>
      </c>
      <c r="CE123" s="2"/>
      <c r="CF123" s="2"/>
      <c r="CG123" s="93"/>
      <c r="CH123" s="93"/>
      <c r="CI123" s="2"/>
      <c r="CJ123" s="91">
        <f t="shared" si="282"/>
        <v>4500</v>
      </c>
      <c r="CK123" s="91">
        <f t="shared" si="282"/>
        <v>3740</v>
      </c>
      <c r="CL123" s="91">
        <f t="shared" si="282"/>
        <v>3740</v>
      </c>
      <c r="CM123" s="91">
        <f t="shared" si="282"/>
        <v>-760</v>
      </c>
      <c r="CN123" s="91">
        <f t="shared" si="236"/>
        <v>18000</v>
      </c>
      <c r="CO123" s="91">
        <f t="shared" si="236"/>
        <v>14358</v>
      </c>
      <c r="CP123" s="91">
        <f t="shared" si="236"/>
        <v>14358</v>
      </c>
      <c r="CQ123" s="91">
        <f t="shared" si="236"/>
        <v>-3642</v>
      </c>
    </row>
    <row r="124" spans="1:95" ht="16.5" x14ac:dyDescent="0.3">
      <c r="A124" s="49" t="s">
        <v>127</v>
      </c>
      <c r="B124" s="38"/>
      <c r="C124" s="174"/>
      <c r="D124" s="18"/>
      <c r="E124" s="43"/>
      <c r="F124" s="170">
        <f t="shared" si="225"/>
        <v>0</v>
      </c>
      <c r="G124" s="83"/>
      <c r="H124" s="18"/>
      <c r="I124" s="43"/>
      <c r="J124" s="19">
        <f t="shared" si="226"/>
        <v>0</v>
      </c>
      <c r="K124" s="17"/>
      <c r="L124" s="18"/>
      <c r="M124" s="43"/>
      <c r="N124" s="19">
        <f t="shared" si="248"/>
        <v>0</v>
      </c>
      <c r="O124" s="17">
        <f t="shared" si="249"/>
        <v>0</v>
      </c>
      <c r="P124" s="43">
        <f t="shared" si="250"/>
        <v>0</v>
      </c>
      <c r="Q124" s="43">
        <f t="shared" si="250"/>
        <v>0</v>
      </c>
      <c r="R124" s="19">
        <f t="shared" si="251"/>
        <v>0</v>
      </c>
      <c r="S124" s="17"/>
      <c r="T124" s="18"/>
      <c r="U124" s="43"/>
      <c r="V124" s="19">
        <f t="shared" si="252"/>
        <v>0</v>
      </c>
      <c r="W124" s="17"/>
      <c r="X124" s="18"/>
      <c r="Y124" s="37"/>
      <c r="Z124" s="18">
        <f t="shared" si="253"/>
        <v>0</v>
      </c>
      <c r="AA124" s="83"/>
      <c r="AB124" s="18"/>
      <c r="AC124" s="43"/>
      <c r="AD124" s="19">
        <f t="shared" si="254"/>
        <v>0</v>
      </c>
      <c r="AE124" s="17">
        <f t="shared" si="278"/>
        <v>0</v>
      </c>
      <c r="AF124" s="18">
        <f t="shared" si="278"/>
        <v>0</v>
      </c>
      <c r="AG124" s="18">
        <f t="shared" si="278"/>
        <v>0</v>
      </c>
      <c r="AH124" s="19">
        <f t="shared" si="255"/>
        <v>0</v>
      </c>
      <c r="AI124" s="17">
        <f t="shared" si="279"/>
        <v>0</v>
      </c>
      <c r="AJ124" s="18">
        <f t="shared" si="279"/>
        <v>0</v>
      </c>
      <c r="AK124" s="18">
        <f t="shared" si="279"/>
        <v>0</v>
      </c>
      <c r="AL124" s="19">
        <f t="shared" si="256"/>
        <v>0</v>
      </c>
      <c r="AM124" s="17"/>
      <c r="AN124" s="18"/>
      <c r="AO124" s="43"/>
      <c r="AP124" s="20">
        <f t="shared" si="257"/>
        <v>0</v>
      </c>
      <c r="AQ124" s="17"/>
      <c r="AR124" s="18"/>
      <c r="AS124" s="146"/>
      <c r="AT124" s="20">
        <f t="shared" si="258"/>
        <v>0</v>
      </c>
      <c r="AU124" s="17"/>
      <c r="AV124" s="18"/>
      <c r="AW124" s="43"/>
      <c r="AX124" s="20">
        <f t="shared" si="259"/>
        <v>0</v>
      </c>
      <c r="AY124" s="17">
        <f t="shared" si="280"/>
        <v>0</v>
      </c>
      <c r="AZ124" s="18">
        <f t="shared" si="280"/>
        <v>0</v>
      </c>
      <c r="BA124" s="18">
        <f t="shared" si="280"/>
        <v>0</v>
      </c>
      <c r="BB124" s="19">
        <f t="shared" si="260"/>
        <v>0</v>
      </c>
      <c r="BC124" s="194">
        <f t="shared" si="261"/>
        <v>0</v>
      </c>
      <c r="BD124" s="124">
        <f t="shared" si="261"/>
        <v>0</v>
      </c>
      <c r="BE124" s="124">
        <f t="shared" si="261"/>
        <v>0</v>
      </c>
      <c r="BF124" s="170">
        <f t="shared" si="262"/>
        <v>0</v>
      </c>
      <c r="BG124" s="83"/>
      <c r="BH124" s="18"/>
      <c r="BI124" s="43"/>
      <c r="BJ124" s="41">
        <f t="shared" si="263"/>
        <v>0</v>
      </c>
      <c r="BK124" s="44"/>
      <c r="BL124" s="43"/>
      <c r="BM124" s="43"/>
      <c r="BN124" s="41">
        <f t="shared" si="264"/>
        <v>0</v>
      </c>
      <c r="BO124" s="44"/>
      <c r="BP124" s="43"/>
      <c r="BQ124" s="43"/>
      <c r="BR124" s="41">
        <f t="shared" si="265"/>
        <v>0</v>
      </c>
      <c r="BS124" s="17">
        <f t="shared" si="270"/>
        <v>0</v>
      </c>
      <c r="BT124" s="18">
        <f t="shared" si="270"/>
        <v>0</v>
      </c>
      <c r="BU124" s="18">
        <f t="shared" si="270"/>
        <v>0</v>
      </c>
      <c r="BV124" s="20">
        <f t="shared" si="266"/>
        <v>0</v>
      </c>
      <c r="BW124" s="17">
        <f t="shared" si="271"/>
        <v>0</v>
      </c>
      <c r="BX124" s="18">
        <f t="shared" si="271"/>
        <v>0</v>
      </c>
      <c r="BY124" s="18">
        <f t="shared" si="271"/>
        <v>0</v>
      </c>
      <c r="BZ124" s="20">
        <f t="shared" si="267"/>
        <v>0</v>
      </c>
      <c r="CA124" s="17">
        <f t="shared" si="281"/>
        <v>0</v>
      </c>
      <c r="CB124" s="18">
        <f t="shared" si="281"/>
        <v>0</v>
      </c>
      <c r="CC124" s="43">
        <f t="shared" si="281"/>
        <v>0</v>
      </c>
      <c r="CD124" s="20">
        <f t="shared" si="268"/>
        <v>0</v>
      </c>
      <c r="CE124" s="2"/>
      <c r="CF124" s="2"/>
      <c r="CG124" s="93"/>
      <c r="CH124" s="93"/>
      <c r="CI124" s="2"/>
      <c r="CJ124" s="91">
        <f t="shared" si="282"/>
        <v>0</v>
      </c>
      <c r="CK124" s="91">
        <f t="shared" si="282"/>
        <v>0</v>
      </c>
      <c r="CL124" s="91">
        <f t="shared" si="282"/>
        <v>0</v>
      </c>
      <c r="CM124" s="91">
        <f t="shared" si="282"/>
        <v>0</v>
      </c>
      <c r="CN124" s="91">
        <f t="shared" si="236"/>
        <v>0</v>
      </c>
      <c r="CO124" s="91">
        <f t="shared" si="236"/>
        <v>0</v>
      </c>
      <c r="CP124" s="91">
        <f t="shared" si="236"/>
        <v>0</v>
      </c>
      <c r="CQ124" s="91">
        <f t="shared" si="236"/>
        <v>0</v>
      </c>
    </row>
    <row r="125" spans="1:95" ht="16.5" x14ac:dyDescent="0.3">
      <c r="A125" s="49" t="s">
        <v>128</v>
      </c>
      <c r="B125" s="38" t="s">
        <v>129</v>
      </c>
      <c r="C125" s="174"/>
      <c r="D125" s="18"/>
      <c r="E125" s="43"/>
      <c r="F125" s="170">
        <f t="shared" si="225"/>
        <v>0</v>
      </c>
      <c r="G125" s="83"/>
      <c r="H125" s="18"/>
      <c r="I125" s="43"/>
      <c r="J125" s="19">
        <f t="shared" si="226"/>
        <v>0</v>
      </c>
      <c r="K125" s="17"/>
      <c r="L125" s="18"/>
      <c r="M125" s="43"/>
      <c r="N125" s="19">
        <f t="shared" si="248"/>
        <v>0</v>
      </c>
      <c r="O125" s="17">
        <f t="shared" si="249"/>
        <v>0</v>
      </c>
      <c r="P125" s="43">
        <f t="shared" si="250"/>
        <v>0</v>
      </c>
      <c r="Q125" s="43">
        <f t="shared" si="250"/>
        <v>0</v>
      </c>
      <c r="R125" s="19">
        <f t="shared" si="251"/>
        <v>0</v>
      </c>
      <c r="S125" s="17"/>
      <c r="T125" s="18"/>
      <c r="U125" s="43"/>
      <c r="V125" s="19">
        <f t="shared" si="252"/>
        <v>0</v>
      </c>
      <c r="W125" s="17"/>
      <c r="X125" s="18"/>
      <c r="Y125" s="37"/>
      <c r="Z125" s="18">
        <f t="shared" si="253"/>
        <v>0</v>
      </c>
      <c r="AA125" s="83"/>
      <c r="AB125" s="18"/>
      <c r="AC125" s="43"/>
      <c r="AD125" s="19">
        <f t="shared" si="254"/>
        <v>0</v>
      </c>
      <c r="AE125" s="17">
        <f t="shared" si="278"/>
        <v>0</v>
      </c>
      <c r="AF125" s="18">
        <f t="shared" si="278"/>
        <v>0</v>
      </c>
      <c r="AG125" s="18">
        <f t="shared" si="278"/>
        <v>0</v>
      </c>
      <c r="AH125" s="19">
        <f t="shared" si="255"/>
        <v>0</v>
      </c>
      <c r="AI125" s="17">
        <f t="shared" si="279"/>
        <v>0</v>
      </c>
      <c r="AJ125" s="18">
        <f t="shared" si="279"/>
        <v>0</v>
      </c>
      <c r="AK125" s="18">
        <f t="shared" si="279"/>
        <v>0</v>
      </c>
      <c r="AL125" s="19">
        <f t="shared" si="256"/>
        <v>0</v>
      </c>
      <c r="AM125" s="17"/>
      <c r="AN125" s="18"/>
      <c r="AO125" s="43"/>
      <c r="AP125" s="20">
        <f t="shared" si="257"/>
        <v>0</v>
      </c>
      <c r="AQ125" s="17"/>
      <c r="AR125" s="18"/>
      <c r="AS125" s="43"/>
      <c r="AT125" s="20">
        <f t="shared" si="258"/>
        <v>0</v>
      </c>
      <c r="AU125" s="17"/>
      <c r="AV125" s="18"/>
      <c r="AW125" s="43"/>
      <c r="AX125" s="20">
        <f t="shared" si="259"/>
        <v>0</v>
      </c>
      <c r="AY125" s="17">
        <f t="shared" si="280"/>
        <v>0</v>
      </c>
      <c r="AZ125" s="18">
        <f t="shared" si="280"/>
        <v>0</v>
      </c>
      <c r="BA125" s="18">
        <f t="shared" si="280"/>
        <v>0</v>
      </c>
      <c r="BB125" s="19">
        <f t="shared" si="260"/>
        <v>0</v>
      </c>
      <c r="BC125" s="194">
        <f t="shared" si="261"/>
        <v>0</v>
      </c>
      <c r="BD125" s="124">
        <f t="shared" si="261"/>
        <v>0</v>
      </c>
      <c r="BE125" s="124">
        <f t="shared" si="261"/>
        <v>0</v>
      </c>
      <c r="BF125" s="170">
        <f t="shared" si="262"/>
        <v>0</v>
      </c>
      <c r="BG125" s="83"/>
      <c r="BH125" s="18"/>
      <c r="BI125" s="43"/>
      <c r="BJ125" s="41">
        <f t="shared" si="263"/>
        <v>0</v>
      </c>
      <c r="BK125" s="44"/>
      <c r="BL125" s="43"/>
      <c r="BM125" s="43"/>
      <c r="BN125" s="41">
        <f t="shared" si="264"/>
        <v>0</v>
      </c>
      <c r="BO125" s="44"/>
      <c r="BP125" s="43"/>
      <c r="BQ125" s="43"/>
      <c r="BR125" s="41">
        <f t="shared" si="265"/>
        <v>0</v>
      </c>
      <c r="BS125" s="17">
        <f t="shared" si="270"/>
        <v>0</v>
      </c>
      <c r="BT125" s="18">
        <f t="shared" si="270"/>
        <v>0</v>
      </c>
      <c r="BU125" s="18">
        <f t="shared" si="270"/>
        <v>0</v>
      </c>
      <c r="BV125" s="20">
        <f t="shared" si="266"/>
        <v>0</v>
      </c>
      <c r="BW125" s="17">
        <f t="shared" si="271"/>
        <v>0</v>
      </c>
      <c r="BX125" s="18">
        <f t="shared" si="271"/>
        <v>0</v>
      </c>
      <c r="BY125" s="18">
        <f t="shared" si="271"/>
        <v>0</v>
      </c>
      <c r="BZ125" s="20">
        <f t="shared" si="267"/>
        <v>0</v>
      </c>
      <c r="CA125" s="17">
        <f t="shared" si="281"/>
        <v>0</v>
      </c>
      <c r="CB125" s="18">
        <f t="shared" si="281"/>
        <v>0</v>
      </c>
      <c r="CC125" s="43">
        <f t="shared" si="281"/>
        <v>0</v>
      </c>
      <c r="CD125" s="20">
        <f t="shared" si="268"/>
        <v>0</v>
      </c>
      <c r="CE125" s="2"/>
      <c r="CF125" s="2"/>
      <c r="CG125" s="93"/>
      <c r="CH125" s="93"/>
      <c r="CI125" s="2"/>
      <c r="CJ125" s="91">
        <f t="shared" si="282"/>
        <v>0</v>
      </c>
      <c r="CK125" s="91">
        <f t="shared" si="282"/>
        <v>0</v>
      </c>
      <c r="CL125" s="91">
        <f t="shared" si="282"/>
        <v>0</v>
      </c>
      <c r="CM125" s="91">
        <f t="shared" si="282"/>
        <v>0</v>
      </c>
      <c r="CN125" s="91">
        <f t="shared" si="236"/>
        <v>0</v>
      </c>
      <c r="CO125" s="91">
        <f t="shared" si="236"/>
        <v>0</v>
      </c>
      <c r="CP125" s="91">
        <f t="shared" si="236"/>
        <v>0</v>
      </c>
      <c r="CQ125" s="91">
        <f t="shared" si="236"/>
        <v>0</v>
      </c>
    </row>
    <row r="126" spans="1:95" ht="16.5" outlineLevel="1" x14ac:dyDescent="0.3">
      <c r="A126" s="49" t="s">
        <v>130</v>
      </c>
      <c r="B126" s="38" t="s">
        <v>131</v>
      </c>
      <c r="C126" s="174">
        <v>6000</v>
      </c>
      <c r="D126" s="18">
        <v>1153.23</v>
      </c>
      <c r="E126" s="43">
        <f>3721.35+3366.69</f>
        <v>7088.04</v>
      </c>
      <c r="F126" s="170">
        <f t="shared" si="225"/>
        <v>-4846.7700000000004</v>
      </c>
      <c r="G126" s="83">
        <v>6000</v>
      </c>
      <c r="H126" s="18">
        <v>9470.25</v>
      </c>
      <c r="I126" s="43">
        <v>1153.23</v>
      </c>
      <c r="J126" s="19">
        <f t="shared" si="226"/>
        <v>3470.25</v>
      </c>
      <c r="K126" s="17">
        <v>6000</v>
      </c>
      <c r="L126" s="18">
        <v>8147.31</v>
      </c>
      <c r="M126" s="43">
        <v>9470.25</v>
      </c>
      <c r="N126" s="19">
        <f t="shared" si="248"/>
        <v>2147.3100000000004</v>
      </c>
      <c r="O126" s="17">
        <f t="shared" si="249"/>
        <v>18000</v>
      </c>
      <c r="P126" s="43">
        <f t="shared" si="250"/>
        <v>18770.79</v>
      </c>
      <c r="Q126" s="43">
        <f t="shared" si="250"/>
        <v>17711.52</v>
      </c>
      <c r="R126" s="19">
        <f t="shared" si="251"/>
        <v>770.79000000000087</v>
      </c>
      <c r="S126" s="17">
        <v>6000</v>
      </c>
      <c r="T126" s="18">
        <v>17458.98</v>
      </c>
      <c r="U126" s="43">
        <v>8147.31</v>
      </c>
      <c r="V126" s="19">
        <f t="shared" si="252"/>
        <v>11458.98</v>
      </c>
      <c r="W126" s="17">
        <v>6000</v>
      </c>
      <c r="X126" s="18"/>
      <c r="Y126" s="37">
        <v>17458.98</v>
      </c>
      <c r="Z126" s="18">
        <f t="shared" si="253"/>
        <v>-6000</v>
      </c>
      <c r="AA126" s="83">
        <v>6000</v>
      </c>
      <c r="AB126" s="43">
        <v>7148.58</v>
      </c>
      <c r="AC126" s="43"/>
      <c r="AD126" s="19">
        <f t="shared" si="254"/>
        <v>1148.58</v>
      </c>
      <c r="AE126" s="17">
        <f t="shared" si="278"/>
        <v>18000</v>
      </c>
      <c r="AF126" s="18">
        <f t="shared" si="278"/>
        <v>24607.559999999998</v>
      </c>
      <c r="AG126" s="18">
        <f t="shared" si="278"/>
        <v>25606.29</v>
      </c>
      <c r="AH126" s="19">
        <f t="shared" si="255"/>
        <v>6607.5599999999977</v>
      </c>
      <c r="AI126" s="17">
        <f t="shared" si="279"/>
        <v>36000</v>
      </c>
      <c r="AJ126" s="18">
        <f t="shared" si="279"/>
        <v>43378.35</v>
      </c>
      <c r="AK126" s="18">
        <f t="shared" si="279"/>
        <v>43317.81</v>
      </c>
      <c r="AL126" s="19">
        <f t="shared" si="256"/>
        <v>7378.3499999999985</v>
      </c>
      <c r="AM126" s="17">
        <v>6000</v>
      </c>
      <c r="AN126" s="18">
        <v>9665.49</v>
      </c>
      <c r="AO126" s="43">
        <v>7148.58</v>
      </c>
      <c r="AP126" s="20">
        <f t="shared" si="257"/>
        <v>3665.49</v>
      </c>
      <c r="AQ126" s="17">
        <v>6000</v>
      </c>
      <c r="AR126" s="18">
        <v>8744.82</v>
      </c>
      <c r="AS126" s="43">
        <v>9665.49</v>
      </c>
      <c r="AT126" s="20">
        <f t="shared" si="258"/>
        <v>2744.8199999999997</v>
      </c>
      <c r="AU126" s="17">
        <v>6000</v>
      </c>
      <c r="AV126" s="18">
        <v>18350.88</v>
      </c>
      <c r="AW126" s="43">
        <v>8744.82</v>
      </c>
      <c r="AX126" s="20">
        <f t="shared" si="259"/>
        <v>12350.880000000001</v>
      </c>
      <c r="AY126" s="17">
        <f t="shared" si="280"/>
        <v>18000</v>
      </c>
      <c r="AZ126" s="18">
        <f t="shared" si="280"/>
        <v>36761.19</v>
      </c>
      <c r="BA126" s="18">
        <f t="shared" si="280"/>
        <v>25558.89</v>
      </c>
      <c r="BB126" s="19">
        <f t="shared" si="260"/>
        <v>18761.190000000002</v>
      </c>
      <c r="BC126" s="194">
        <f t="shared" si="261"/>
        <v>54000</v>
      </c>
      <c r="BD126" s="124">
        <f t="shared" si="261"/>
        <v>80139.540000000008</v>
      </c>
      <c r="BE126" s="124">
        <f t="shared" si="261"/>
        <v>68876.7</v>
      </c>
      <c r="BF126" s="170">
        <f t="shared" si="262"/>
        <v>26139.540000000008</v>
      </c>
      <c r="BG126" s="83">
        <v>6000</v>
      </c>
      <c r="BH126" s="18">
        <v>18977.04</v>
      </c>
      <c r="BI126" s="43">
        <v>18350.88</v>
      </c>
      <c r="BJ126" s="41">
        <f t="shared" si="263"/>
        <v>12977.04</v>
      </c>
      <c r="BK126" s="44">
        <v>6000</v>
      </c>
      <c r="BL126" s="43">
        <v>12806.91</v>
      </c>
      <c r="BM126" s="43">
        <v>18977.04</v>
      </c>
      <c r="BN126" s="41">
        <f t="shared" si="264"/>
        <v>6806.91</v>
      </c>
      <c r="BO126" s="44">
        <v>6000</v>
      </c>
      <c r="BP126" s="43">
        <v>6196.02</v>
      </c>
      <c r="BQ126" s="43">
        <v>19002.93</v>
      </c>
      <c r="BR126" s="41">
        <f t="shared" si="265"/>
        <v>196.02000000000044</v>
      </c>
      <c r="BS126" s="17">
        <f t="shared" si="270"/>
        <v>18000</v>
      </c>
      <c r="BT126" s="18">
        <f t="shared" si="270"/>
        <v>37979.97</v>
      </c>
      <c r="BU126" s="18">
        <f t="shared" si="270"/>
        <v>56330.85</v>
      </c>
      <c r="BV126" s="20">
        <f t="shared" si="266"/>
        <v>19979.97</v>
      </c>
      <c r="BW126" s="17">
        <f t="shared" si="271"/>
        <v>36000</v>
      </c>
      <c r="BX126" s="18">
        <f t="shared" si="271"/>
        <v>74741.16</v>
      </c>
      <c r="BY126" s="18">
        <f t="shared" si="271"/>
        <v>81889.739999999991</v>
      </c>
      <c r="BZ126" s="20">
        <f t="shared" si="267"/>
        <v>38741.160000000003</v>
      </c>
      <c r="CA126" s="17">
        <f t="shared" si="281"/>
        <v>72000</v>
      </c>
      <c r="CB126" s="18">
        <f t="shared" si="281"/>
        <v>118119.51000000001</v>
      </c>
      <c r="CC126" s="43">
        <f t="shared" si="281"/>
        <v>125207.54999999999</v>
      </c>
      <c r="CD126" s="20">
        <f t="shared" si="268"/>
        <v>46119.510000000009</v>
      </c>
      <c r="CE126" s="2"/>
      <c r="CF126" s="2"/>
      <c r="CG126" s="93"/>
      <c r="CH126" s="93"/>
      <c r="CI126" s="2"/>
      <c r="CJ126" s="91">
        <f t="shared" si="282"/>
        <v>18000</v>
      </c>
      <c r="CK126" s="91">
        <f t="shared" si="282"/>
        <v>37979.97</v>
      </c>
      <c r="CL126" s="91">
        <f t="shared" si="282"/>
        <v>56330.85</v>
      </c>
      <c r="CM126" s="91">
        <f t="shared" si="282"/>
        <v>19979.97</v>
      </c>
      <c r="CN126" s="91">
        <f t="shared" si="236"/>
        <v>72000</v>
      </c>
      <c r="CO126" s="91">
        <f t="shared" si="236"/>
        <v>118119.51000000001</v>
      </c>
      <c r="CP126" s="91">
        <f t="shared" si="236"/>
        <v>125207.54999999999</v>
      </c>
      <c r="CQ126" s="91">
        <f t="shared" si="236"/>
        <v>46119.51</v>
      </c>
    </row>
    <row r="127" spans="1:95" ht="16.5" x14ac:dyDescent="0.3">
      <c r="A127" s="49" t="s">
        <v>132</v>
      </c>
      <c r="B127" s="38" t="s">
        <v>133</v>
      </c>
      <c r="C127" s="174">
        <v>5466</v>
      </c>
      <c r="D127" s="18">
        <v>5457</v>
      </c>
      <c r="E127" s="43">
        <v>5457</v>
      </c>
      <c r="F127" s="170">
        <f t="shared" si="225"/>
        <v>-9</v>
      </c>
      <c r="G127" s="83">
        <v>5466</v>
      </c>
      <c r="H127" s="18">
        <v>5461</v>
      </c>
      <c r="I127" s="43">
        <v>5461</v>
      </c>
      <c r="J127" s="19">
        <f t="shared" si="226"/>
        <v>-5</v>
      </c>
      <c r="K127" s="17">
        <v>5466</v>
      </c>
      <c r="L127" s="43">
        <v>5464</v>
      </c>
      <c r="M127" s="43">
        <v>5464</v>
      </c>
      <c r="N127" s="19">
        <f t="shared" si="248"/>
        <v>-2</v>
      </c>
      <c r="O127" s="17">
        <f t="shared" si="249"/>
        <v>16398</v>
      </c>
      <c r="P127" s="43">
        <f t="shared" si="250"/>
        <v>16382</v>
      </c>
      <c r="Q127" s="43">
        <f t="shared" si="250"/>
        <v>16382</v>
      </c>
      <c r="R127" s="19">
        <f t="shared" si="251"/>
        <v>-16</v>
      </c>
      <c r="S127" s="17">
        <v>5466</v>
      </c>
      <c r="T127" s="18">
        <v>5462</v>
      </c>
      <c r="U127" s="43"/>
      <c r="V127" s="19">
        <f t="shared" si="252"/>
        <v>-4</v>
      </c>
      <c r="W127" s="17">
        <v>5466</v>
      </c>
      <c r="X127" s="18">
        <v>5463</v>
      </c>
      <c r="Y127" s="37">
        <v>10925</v>
      </c>
      <c r="Z127" s="18">
        <f t="shared" si="253"/>
        <v>-3</v>
      </c>
      <c r="AA127" s="83">
        <v>5466</v>
      </c>
      <c r="AB127" s="43">
        <v>5466</v>
      </c>
      <c r="AC127" s="43">
        <v>5466</v>
      </c>
      <c r="AD127" s="19">
        <f t="shared" si="254"/>
        <v>0</v>
      </c>
      <c r="AE127" s="17">
        <f t="shared" si="278"/>
        <v>16398</v>
      </c>
      <c r="AF127" s="18">
        <f t="shared" si="278"/>
        <v>16391</v>
      </c>
      <c r="AG127" s="18">
        <f t="shared" si="278"/>
        <v>16391</v>
      </c>
      <c r="AH127" s="19">
        <f t="shared" si="255"/>
        <v>-7</v>
      </c>
      <c r="AI127" s="17">
        <f t="shared" si="279"/>
        <v>32796</v>
      </c>
      <c r="AJ127" s="18">
        <f t="shared" si="279"/>
        <v>32773</v>
      </c>
      <c r="AK127" s="18">
        <f t="shared" si="279"/>
        <v>32773</v>
      </c>
      <c r="AL127" s="19">
        <f t="shared" si="256"/>
        <v>-23</v>
      </c>
      <c r="AM127" s="17">
        <v>5466</v>
      </c>
      <c r="AN127" s="18">
        <v>5460</v>
      </c>
      <c r="AO127" s="43">
        <v>5460</v>
      </c>
      <c r="AP127" s="20">
        <f t="shared" si="257"/>
        <v>-6</v>
      </c>
      <c r="AQ127" s="17">
        <v>5466</v>
      </c>
      <c r="AR127" s="18">
        <v>5454</v>
      </c>
      <c r="AS127" s="43">
        <v>5454</v>
      </c>
      <c r="AT127" s="20">
        <f t="shared" si="258"/>
        <v>-12</v>
      </c>
      <c r="AU127" s="17">
        <v>5466</v>
      </c>
      <c r="AV127" s="18">
        <v>5455</v>
      </c>
      <c r="AW127" s="43">
        <v>5455</v>
      </c>
      <c r="AX127" s="20">
        <f t="shared" si="259"/>
        <v>-11</v>
      </c>
      <c r="AY127" s="17">
        <f t="shared" si="280"/>
        <v>16398</v>
      </c>
      <c r="AZ127" s="18">
        <f t="shared" si="280"/>
        <v>16369</v>
      </c>
      <c r="BA127" s="18">
        <f t="shared" si="280"/>
        <v>16369</v>
      </c>
      <c r="BB127" s="19">
        <f t="shared" si="260"/>
        <v>-29</v>
      </c>
      <c r="BC127" s="194">
        <f t="shared" si="261"/>
        <v>49194</v>
      </c>
      <c r="BD127" s="124">
        <f t="shared" si="261"/>
        <v>49142</v>
      </c>
      <c r="BE127" s="124">
        <f t="shared" si="261"/>
        <v>49142</v>
      </c>
      <c r="BF127" s="170">
        <f t="shared" si="262"/>
        <v>-52</v>
      </c>
      <c r="BG127" s="83">
        <v>5466</v>
      </c>
      <c r="BH127" s="18">
        <v>5455</v>
      </c>
      <c r="BI127" s="43">
        <v>5455</v>
      </c>
      <c r="BJ127" s="41">
        <f t="shared" si="263"/>
        <v>-11</v>
      </c>
      <c r="BK127" s="44">
        <v>5466</v>
      </c>
      <c r="BL127" s="43">
        <v>5447</v>
      </c>
      <c r="BM127" s="43">
        <v>5447</v>
      </c>
      <c r="BN127" s="41">
        <f t="shared" si="264"/>
        <v>-19</v>
      </c>
      <c r="BO127" s="44">
        <v>5466</v>
      </c>
      <c r="BP127" s="43">
        <v>5450</v>
      </c>
      <c r="BQ127" s="43">
        <v>5450</v>
      </c>
      <c r="BR127" s="41">
        <f t="shared" si="265"/>
        <v>-16</v>
      </c>
      <c r="BS127" s="17">
        <f t="shared" si="270"/>
        <v>16398</v>
      </c>
      <c r="BT127" s="18">
        <f t="shared" si="270"/>
        <v>16352</v>
      </c>
      <c r="BU127" s="18">
        <f t="shared" si="270"/>
        <v>16352</v>
      </c>
      <c r="BV127" s="20">
        <f t="shared" si="266"/>
        <v>-46</v>
      </c>
      <c r="BW127" s="17">
        <f t="shared" si="271"/>
        <v>32796</v>
      </c>
      <c r="BX127" s="18">
        <f t="shared" si="271"/>
        <v>32721</v>
      </c>
      <c r="BY127" s="18">
        <f t="shared" si="271"/>
        <v>32721</v>
      </c>
      <c r="BZ127" s="20">
        <f t="shared" si="267"/>
        <v>-75</v>
      </c>
      <c r="CA127" s="44">
        <f t="shared" si="281"/>
        <v>65592</v>
      </c>
      <c r="CB127" s="18">
        <f t="shared" si="281"/>
        <v>65494</v>
      </c>
      <c r="CC127" s="43">
        <f t="shared" si="281"/>
        <v>65494</v>
      </c>
      <c r="CD127" s="20">
        <f t="shared" si="268"/>
        <v>-98</v>
      </c>
      <c r="CE127" s="2"/>
      <c r="CF127" s="2"/>
      <c r="CG127" s="93"/>
      <c r="CH127" s="93"/>
      <c r="CI127" s="2"/>
      <c r="CJ127" s="91">
        <f t="shared" si="282"/>
        <v>16398</v>
      </c>
      <c r="CK127" s="91">
        <f t="shared" si="282"/>
        <v>16352</v>
      </c>
      <c r="CL127" s="91">
        <f t="shared" si="282"/>
        <v>16352</v>
      </c>
      <c r="CM127" s="91">
        <f t="shared" si="282"/>
        <v>-46</v>
      </c>
      <c r="CN127" s="91">
        <f t="shared" si="236"/>
        <v>65592</v>
      </c>
      <c r="CO127" s="91">
        <f t="shared" si="236"/>
        <v>65494</v>
      </c>
      <c r="CP127" s="91">
        <f t="shared" si="236"/>
        <v>65494</v>
      </c>
      <c r="CQ127" s="91">
        <f t="shared" si="236"/>
        <v>-98</v>
      </c>
    </row>
    <row r="128" spans="1:95" ht="16.5" x14ac:dyDescent="0.3">
      <c r="A128" s="49" t="s">
        <v>134</v>
      </c>
      <c r="B128" s="38" t="s">
        <v>135</v>
      </c>
      <c r="C128" s="168"/>
      <c r="D128" s="18"/>
      <c r="E128" s="43"/>
      <c r="F128" s="170">
        <f t="shared" si="225"/>
        <v>0</v>
      </c>
      <c r="G128" s="89"/>
      <c r="H128" s="18"/>
      <c r="I128" s="43"/>
      <c r="J128" s="19">
        <f t="shared" si="226"/>
        <v>0</v>
      </c>
      <c r="K128" s="25"/>
      <c r="L128" s="18"/>
      <c r="M128" s="43"/>
      <c r="N128" s="19">
        <f t="shared" si="248"/>
        <v>0</v>
      </c>
      <c r="O128" s="17">
        <f t="shared" si="249"/>
        <v>0</v>
      </c>
      <c r="P128" s="43">
        <f t="shared" si="250"/>
        <v>0</v>
      </c>
      <c r="Q128" s="43">
        <f t="shared" si="250"/>
        <v>0</v>
      </c>
      <c r="R128" s="19">
        <f t="shared" si="251"/>
        <v>0</v>
      </c>
      <c r="S128" s="25"/>
      <c r="T128" s="18"/>
      <c r="U128" s="43"/>
      <c r="V128" s="19">
        <f t="shared" si="252"/>
        <v>0</v>
      </c>
      <c r="W128" s="25"/>
      <c r="X128" s="18"/>
      <c r="Y128" s="40"/>
      <c r="Z128" s="18">
        <f t="shared" si="253"/>
        <v>0</v>
      </c>
      <c r="AA128" s="89"/>
      <c r="AB128" s="18"/>
      <c r="AC128" s="43"/>
      <c r="AD128" s="19">
        <f t="shared" si="254"/>
        <v>0</v>
      </c>
      <c r="AE128" s="17">
        <f t="shared" si="278"/>
        <v>0</v>
      </c>
      <c r="AF128" s="18">
        <f t="shared" si="278"/>
        <v>0</v>
      </c>
      <c r="AG128" s="18">
        <f t="shared" si="278"/>
        <v>0</v>
      </c>
      <c r="AH128" s="19">
        <f t="shared" si="255"/>
        <v>0</v>
      </c>
      <c r="AI128" s="17">
        <f t="shared" si="279"/>
        <v>0</v>
      </c>
      <c r="AJ128" s="18">
        <f t="shared" si="279"/>
        <v>0</v>
      </c>
      <c r="AK128" s="18">
        <f t="shared" si="279"/>
        <v>0</v>
      </c>
      <c r="AL128" s="19">
        <f t="shared" si="256"/>
        <v>0</v>
      </c>
      <c r="AM128" s="25"/>
      <c r="AN128" s="18"/>
      <c r="AO128" s="43"/>
      <c r="AP128" s="20">
        <f t="shared" si="257"/>
        <v>0</v>
      </c>
      <c r="AQ128" s="17"/>
      <c r="AR128" s="18"/>
      <c r="AS128" s="43"/>
      <c r="AT128" s="20">
        <f t="shared" si="258"/>
        <v>0</v>
      </c>
      <c r="AU128" s="17"/>
      <c r="AV128" s="18"/>
      <c r="AW128" s="43"/>
      <c r="AX128" s="20">
        <f t="shared" si="259"/>
        <v>0</v>
      </c>
      <c r="AY128" s="17">
        <f t="shared" si="280"/>
        <v>0</v>
      </c>
      <c r="AZ128" s="18">
        <f t="shared" si="280"/>
        <v>0</v>
      </c>
      <c r="BA128" s="18">
        <f t="shared" si="280"/>
        <v>0</v>
      </c>
      <c r="BB128" s="19">
        <f t="shared" si="260"/>
        <v>0</v>
      </c>
      <c r="BC128" s="190">
        <f t="shared" si="261"/>
        <v>0</v>
      </c>
      <c r="BD128" s="84">
        <f t="shared" si="261"/>
        <v>0</v>
      </c>
      <c r="BE128" s="84">
        <f t="shared" si="261"/>
        <v>0</v>
      </c>
      <c r="BF128" s="170">
        <f t="shared" si="262"/>
        <v>0</v>
      </c>
      <c r="BG128" s="83"/>
      <c r="BH128" s="18"/>
      <c r="BI128" s="43"/>
      <c r="BJ128" s="41">
        <f t="shared" si="263"/>
        <v>0</v>
      </c>
      <c r="BK128" s="44"/>
      <c r="BL128" s="43"/>
      <c r="BM128" s="43"/>
      <c r="BN128" s="41">
        <f t="shared" si="264"/>
        <v>0</v>
      </c>
      <c r="BO128" s="44">
        <v>3000</v>
      </c>
      <c r="BP128" s="43"/>
      <c r="BQ128" s="43"/>
      <c r="BR128" s="41">
        <f t="shared" si="265"/>
        <v>-3000</v>
      </c>
      <c r="BS128" s="17">
        <f t="shared" si="270"/>
        <v>3000</v>
      </c>
      <c r="BT128" s="18">
        <f t="shared" si="270"/>
        <v>0</v>
      </c>
      <c r="BU128" s="18">
        <f t="shared" si="270"/>
        <v>0</v>
      </c>
      <c r="BV128" s="20">
        <f t="shared" si="266"/>
        <v>-3000</v>
      </c>
      <c r="BW128" s="17">
        <f t="shared" si="271"/>
        <v>3000</v>
      </c>
      <c r="BX128" s="18">
        <f t="shared" si="271"/>
        <v>0</v>
      </c>
      <c r="BY128" s="18">
        <f t="shared" si="271"/>
        <v>0</v>
      </c>
      <c r="BZ128" s="20">
        <f t="shared" si="267"/>
        <v>-3000</v>
      </c>
      <c r="CA128" s="17">
        <f t="shared" si="281"/>
        <v>3000</v>
      </c>
      <c r="CB128" s="18">
        <f t="shared" si="281"/>
        <v>0</v>
      </c>
      <c r="CC128" s="43">
        <f t="shared" si="281"/>
        <v>0</v>
      </c>
      <c r="CD128" s="20">
        <f t="shared" si="268"/>
        <v>-3000</v>
      </c>
      <c r="CG128" s="93"/>
      <c r="CH128" s="93"/>
      <c r="CJ128" s="91">
        <f t="shared" si="282"/>
        <v>3000</v>
      </c>
      <c r="CK128" s="91">
        <f t="shared" si="282"/>
        <v>0</v>
      </c>
      <c r="CL128" s="91">
        <f t="shared" si="282"/>
        <v>0</v>
      </c>
      <c r="CM128" s="91">
        <f t="shared" si="282"/>
        <v>-3000</v>
      </c>
      <c r="CN128" s="91">
        <f t="shared" si="236"/>
        <v>3000</v>
      </c>
      <c r="CO128" s="91">
        <f t="shared" si="236"/>
        <v>0</v>
      </c>
      <c r="CP128" s="91">
        <f t="shared" si="236"/>
        <v>0</v>
      </c>
      <c r="CQ128" s="91">
        <f t="shared" si="236"/>
        <v>-3000</v>
      </c>
    </row>
    <row r="129" spans="1:95" ht="25.5" x14ac:dyDescent="0.3">
      <c r="A129" s="49" t="s">
        <v>136</v>
      </c>
      <c r="B129" s="33" t="s">
        <v>137</v>
      </c>
      <c r="C129" s="168"/>
      <c r="D129" s="18"/>
      <c r="E129" s="43"/>
      <c r="F129" s="170">
        <f t="shared" si="225"/>
        <v>0</v>
      </c>
      <c r="G129" s="89"/>
      <c r="H129" s="18"/>
      <c r="I129" s="18"/>
      <c r="J129" s="19">
        <f t="shared" si="226"/>
        <v>0</v>
      </c>
      <c r="K129" s="25"/>
      <c r="L129" s="18"/>
      <c r="M129" s="43"/>
      <c r="N129" s="19">
        <f t="shared" si="248"/>
        <v>0</v>
      </c>
      <c r="O129" s="17">
        <f t="shared" si="249"/>
        <v>0</v>
      </c>
      <c r="P129" s="43">
        <f t="shared" si="250"/>
        <v>0</v>
      </c>
      <c r="Q129" s="43">
        <f t="shared" si="250"/>
        <v>0</v>
      </c>
      <c r="R129" s="19">
        <f t="shared" si="251"/>
        <v>0</v>
      </c>
      <c r="S129" s="25"/>
      <c r="T129" s="18"/>
      <c r="U129" s="43"/>
      <c r="V129" s="19">
        <f t="shared" si="252"/>
        <v>0</v>
      </c>
      <c r="W129" s="25"/>
      <c r="X129" s="18"/>
      <c r="Y129" s="40"/>
      <c r="Z129" s="18">
        <f t="shared" si="253"/>
        <v>0</v>
      </c>
      <c r="AA129" s="89"/>
      <c r="AB129" s="18"/>
      <c r="AC129" s="31"/>
      <c r="AD129" s="19">
        <f t="shared" si="254"/>
        <v>0</v>
      </c>
      <c r="AE129" s="17">
        <f t="shared" si="278"/>
        <v>0</v>
      </c>
      <c r="AF129" s="18">
        <f t="shared" si="278"/>
        <v>0</v>
      </c>
      <c r="AG129" s="18">
        <f t="shared" si="278"/>
        <v>0</v>
      </c>
      <c r="AH129" s="19">
        <f t="shared" si="255"/>
        <v>0</v>
      </c>
      <c r="AI129" s="17">
        <f t="shared" si="279"/>
        <v>0</v>
      </c>
      <c r="AJ129" s="18">
        <f t="shared" si="279"/>
        <v>0</v>
      </c>
      <c r="AK129" s="18">
        <f t="shared" si="279"/>
        <v>0</v>
      </c>
      <c r="AL129" s="19">
        <f t="shared" si="256"/>
        <v>0</v>
      </c>
      <c r="AN129" s="18"/>
      <c r="AO129" s="43"/>
      <c r="AP129" s="20">
        <f>AN129-AM130</f>
        <v>-40524.660000000003</v>
      </c>
      <c r="AQ129" s="17"/>
      <c r="AR129" s="18"/>
      <c r="AS129" s="95"/>
      <c r="AT129" s="20">
        <f t="shared" si="258"/>
        <v>0</v>
      </c>
      <c r="AU129" s="17"/>
      <c r="AV129" s="18"/>
      <c r="AW129" s="95"/>
      <c r="AX129" s="20">
        <f t="shared" si="259"/>
        <v>0</v>
      </c>
      <c r="AY129" s="17">
        <f t="shared" si="280"/>
        <v>0</v>
      </c>
      <c r="AZ129" s="18">
        <f t="shared" si="280"/>
        <v>0</v>
      </c>
      <c r="BA129" s="18">
        <f t="shared" si="280"/>
        <v>0</v>
      </c>
      <c r="BB129" s="19">
        <f t="shared" si="260"/>
        <v>0</v>
      </c>
      <c r="BC129" s="190">
        <f t="shared" si="261"/>
        <v>0</v>
      </c>
      <c r="BD129" s="84">
        <f t="shared" si="261"/>
        <v>0</v>
      </c>
      <c r="BE129" s="84">
        <f t="shared" si="261"/>
        <v>0</v>
      </c>
      <c r="BF129" s="170">
        <f t="shared" si="262"/>
        <v>0</v>
      </c>
      <c r="BG129" s="83"/>
      <c r="BH129" s="18"/>
      <c r="BI129" s="43"/>
      <c r="BJ129" s="41">
        <f t="shared" si="263"/>
        <v>0</v>
      </c>
      <c r="BK129" s="44"/>
      <c r="BL129" s="43"/>
      <c r="BM129" s="95"/>
      <c r="BN129" s="41">
        <f t="shared" si="264"/>
        <v>0</v>
      </c>
      <c r="BO129" s="44">
        <v>5000</v>
      </c>
      <c r="BP129" s="43"/>
      <c r="BQ129" s="95"/>
      <c r="BR129" s="41">
        <f t="shared" si="265"/>
        <v>-5000</v>
      </c>
      <c r="BS129" s="17">
        <f t="shared" si="270"/>
        <v>5000</v>
      </c>
      <c r="BT129" s="18">
        <f t="shared" si="270"/>
        <v>0</v>
      </c>
      <c r="BU129" s="18">
        <f t="shared" si="270"/>
        <v>0</v>
      </c>
      <c r="BV129" s="20">
        <f t="shared" si="266"/>
        <v>-5000</v>
      </c>
      <c r="BW129" s="17">
        <f t="shared" si="271"/>
        <v>5000</v>
      </c>
      <c r="BX129" s="18">
        <f t="shared" si="271"/>
        <v>0</v>
      </c>
      <c r="BY129" s="18">
        <f t="shared" si="271"/>
        <v>0</v>
      </c>
      <c r="BZ129" s="20">
        <f t="shared" si="267"/>
        <v>-5000</v>
      </c>
      <c r="CA129" s="17">
        <f t="shared" si="281"/>
        <v>5000</v>
      </c>
      <c r="CB129" s="18">
        <f t="shared" si="281"/>
        <v>0</v>
      </c>
      <c r="CC129" s="43">
        <f t="shared" si="281"/>
        <v>0</v>
      </c>
      <c r="CD129" s="20">
        <f t="shared" si="268"/>
        <v>-5000</v>
      </c>
      <c r="CG129" s="93"/>
      <c r="CH129" s="93"/>
      <c r="CJ129" s="91">
        <f t="shared" si="282"/>
        <v>5000</v>
      </c>
      <c r="CK129" s="91">
        <f t="shared" si="282"/>
        <v>0</v>
      </c>
      <c r="CL129" s="91">
        <f t="shared" si="282"/>
        <v>0</v>
      </c>
      <c r="CM129" s="91">
        <f t="shared" si="282"/>
        <v>-5000</v>
      </c>
      <c r="CN129" s="91">
        <f t="shared" si="236"/>
        <v>5000</v>
      </c>
      <c r="CO129" s="91">
        <f t="shared" si="236"/>
        <v>0</v>
      </c>
      <c r="CP129" s="91">
        <f t="shared" si="236"/>
        <v>0</v>
      </c>
      <c r="CQ129" s="91">
        <f t="shared" si="236"/>
        <v>-5000</v>
      </c>
    </row>
    <row r="130" spans="1:95" ht="16.5" x14ac:dyDescent="0.3">
      <c r="A130" s="49" t="s">
        <v>138</v>
      </c>
      <c r="B130" s="10" t="s">
        <v>139</v>
      </c>
      <c r="C130" s="168">
        <v>39073.050000000003</v>
      </c>
      <c r="D130" s="31"/>
      <c r="E130" s="95"/>
      <c r="F130" s="170">
        <f t="shared" si="225"/>
        <v>-39073.050000000003</v>
      </c>
      <c r="G130" s="89">
        <v>40361.410000000003</v>
      </c>
      <c r="H130" s="18"/>
      <c r="I130" s="31">
        <v>167753</v>
      </c>
      <c r="J130" s="19">
        <f t="shared" si="226"/>
        <v>-40361.410000000003</v>
      </c>
      <c r="K130" s="25">
        <v>40361.410000000003</v>
      </c>
      <c r="L130" s="18">
        <v>262712</v>
      </c>
      <c r="M130" s="18"/>
      <c r="N130" s="19">
        <f t="shared" si="248"/>
        <v>222350.59</v>
      </c>
      <c r="O130" s="17">
        <f t="shared" si="249"/>
        <v>119795.87000000001</v>
      </c>
      <c r="P130" s="43">
        <f t="shared" si="250"/>
        <v>262712</v>
      </c>
      <c r="Q130" s="43">
        <f t="shared" si="250"/>
        <v>167753</v>
      </c>
      <c r="R130" s="19">
        <f t="shared" si="251"/>
        <v>142916.13</v>
      </c>
      <c r="S130" s="17">
        <v>40361.42</v>
      </c>
      <c r="T130" s="18"/>
      <c r="U130" s="43">
        <v>262712</v>
      </c>
      <c r="V130" s="19">
        <f t="shared" si="252"/>
        <v>-40361.42</v>
      </c>
      <c r="W130" s="25">
        <v>40361.4</v>
      </c>
      <c r="X130" s="18"/>
      <c r="Y130" s="30"/>
      <c r="Z130" s="18">
        <f t="shared" si="253"/>
        <v>-40361.4</v>
      </c>
      <c r="AA130" s="89">
        <v>40361.410000000003</v>
      </c>
      <c r="AB130" s="18">
        <v>505000</v>
      </c>
      <c r="AC130" s="31"/>
      <c r="AD130" s="19">
        <f t="shared" si="254"/>
        <v>464638.58999999997</v>
      </c>
      <c r="AE130" s="17">
        <f t="shared" si="278"/>
        <v>121084.23000000001</v>
      </c>
      <c r="AF130" s="18">
        <f t="shared" si="278"/>
        <v>505000</v>
      </c>
      <c r="AG130" s="18">
        <f t="shared" si="278"/>
        <v>262712</v>
      </c>
      <c r="AH130" s="19">
        <f t="shared" si="255"/>
        <v>383915.77</v>
      </c>
      <c r="AI130" s="17">
        <f t="shared" si="279"/>
        <v>240880.10000000003</v>
      </c>
      <c r="AJ130" s="18">
        <f t="shared" si="279"/>
        <v>767712</v>
      </c>
      <c r="AK130" s="18">
        <f t="shared" si="279"/>
        <v>430465</v>
      </c>
      <c r="AL130" s="19">
        <f t="shared" si="256"/>
        <v>526831.89999999991</v>
      </c>
      <c r="AM130" s="25">
        <v>40524.660000000003</v>
      </c>
      <c r="AN130" s="43"/>
      <c r="AO130" s="18">
        <v>505000</v>
      </c>
      <c r="AP130" s="20">
        <f>AN130-AM130</f>
        <v>-40524.660000000003</v>
      </c>
      <c r="AQ130" s="17">
        <v>40524.660000000003</v>
      </c>
      <c r="AR130" s="18"/>
      <c r="AS130" s="31"/>
      <c r="AT130" s="20">
        <f t="shared" si="258"/>
        <v>-40524.660000000003</v>
      </c>
      <c r="AU130" s="17">
        <v>40524.92</v>
      </c>
      <c r="AV130" s="18">
        <v>539749</v>
      </c>
      <c r="AW130" s="95"/>
      <c r="AX130" s="20">
        <f t="shared" si="259"/>
        <v>499224.08</v>
      </c>
      <c r="AY130" s="17">
        <f>AM130+AQ130+AU130-0.49</f>
        <v>121573.75</v>
      </c>
      <c r="AZ130" s="18">
        <f t="shared" ref="AZ130:BA130" si="283">AN130+AR130+AV130</f>
        <v>539749</v>
      </c>
      <c r="BA130" s="18">
        <f t="shared" si="283"/>
        <v>505000</v>
      </c>
      <c r="BB130" s="19">
        <f t="shared" si="260"/>
        <v>418175.25</v>
      </c>
      <c r="BC130" s="190">
        <f t="shared" si="261"/>
        <v>362453.85000000003</v>
      </c>
      <c r="BD130" s="84">
        <f t="shared" si="261"/>
        <v>1307461</v>
      </c>
      <c r="BE130" s="84">
        <f t="shared" si="261"/>
        <v>935465</v>
      </c>
      <c r="BF130" s="170">
        <f t="shared" si="262"/>
        <v>945007.14999999991</v>
      </c>
      <c r="BG130" s="83">
        <v>40524.92</v>
      </c>
      <c r="BH130" s="18"/>
      <c r="BI130" s="43">
        <v>539749</v>
      </c>
      <c r="BJ130" s="41">
        <f t="shared" si="263"/>
        <v>-40524.92</v>
      </c>
      <c r="BK130" s="44">
        <v>40524.839999999997</v>
      </c>
      <c r="BL130" s="43"/>
      <c r="BM130" s="95"/>
      <c r="BN130" s="41">
        <f t="shared" si="264"/>
        <v>-40524.839999999997</v>
      </c>
      <c r="BO130" s="44">
        <f>40524.66+0.41</f>
        <v>40525.070000000007</v>
      </c>
      <c r="BP130" s="43"/>
      <c r="BQ130" s="95"/>
      <c r="BR130" s="41">
        <f t="shared" si="265"/>
        <v>-40525.070000000007</v>
      </c>
      <c r="BS130" s="17">
        <f t="shared" si="270"/>
        <v>121574.83</v>
      </c>
      <c r="BT130" s="18">
        <f t="shared" si="270"/>
        <v>0</v>
      </c>
      <c r="BU130" s="18">
        <f t="shared" si="270"/>
        <v>539749</v>
      </c>
      <c r="BV130" s="20">
        <f t="shared" si="266"/>
        <v>-121574.83</v>
      </c>
      <c r="BW130" s="17">
        <f t="shared" si="271"/>
        <v>243148.58000000002</v>
      </c>
      <c r="BX130" s="18">
        <f t="shared" si="271"/>
        <v>539749</v>
      </c>
      <c r="BY130" s="18">
        <f t="shared" si="271"/>
        <v>1044749</v>
      </c>
      <c r="BZ130" s="20">
        <f t="shared" si="267"/>
        <v>296600.42</v>
      </c>
      <c r="CA130" s="17">
        <f t="shared" si="281"/>
        <v>484028.68000000005</v>
      </c>
      <c r="CB130" s="18">
        <f t="shared" si="281"/>
        <v>1307461</v>
      </c>
      <c r="CC130" s="43">
        <f t="shared" si="281"/>
        <v>1475214</v>
      </c>
      <c r="CD130" s="20">
        <f t="shared" si="268"/>
        <v>823432.32</v>
      </c>
      <c r="CG130" s="93"/>
      <c r="CH130" s="93"/>
      <c r="CJ130" s="91">
        <f t="shared" si="282"/>
        <v>121574.83</v>
      </c>
      <c r="CK130" s="91">
        <f t="shared" si="282"/>
        <v>0</v>
      </c>
      <c r="CL130" s="91">
        <f t="shared" si="282"/>
        <v>539749</v>
      </c>
      <c r="CM130" s="91">
        <f t="shared" si="282"/>
        <v>-121574.83</v>
      </c>
      <c r="CN130" s="91">
        <f t="shared" si="236"/>
        <v>484028.68000000005</v>
      </c>
      <c r="CO130" s="91">
        <f t="shared" si="236"/>
        <v>1307461</v>
      </c>
      <c r="CP130" s="91">
        <f t="shared" si="236"/>
        <v>1475214</v>
      </c>
      <c r="CQ130" s="91">
        <f t="shared" si="236"/>
        <v>823432.32000000007</v>
      </c>
    </row>
    <row r="131" spans="1:95" ht="16.5" x14ac:dyDescent="0.3">
      <c r="A131" s="9"/>
      <c r="B131" s="10" t="s">
        <v>140</v>
      </c>
      <c r="C131" s="25">
        <f t="shared" ref="C131:N131" si="284">C9-C32</f>
        <v>0</v>
      </c>
      <c r="D131" s="25">
        <f t="shared" si="284"/>
        <v>1418212.8799999994</v>
      </c>
      <c r="E131" s="25">
        <f t="shared" si="284"/>
        <v>1027027.7199999993</v>
      </c>
      <c r="F131" s="173">
        <f t="shared" si="284"/>
        <v>1418212.88</v>
      </c>
      <c r="G131" s="89">
        <f t="shared" si="284"/>
        <v>0</v>
      </c>
      <c r="H131" s="25">
        <f t="shared" si="284"/>
        <v>14426.099999999627</v>
      </c>
      <c r="I131" s="25">
        <f t="shared" si="284"/>
        <v>921825.23999999929</v>
      </c>
      <c r="J131" s="25">
        <f t="shared" si="284"/>
        <v>23099.189999999289</v>
      </c>
      <c r="K131" s="25">
        <f t="shared" si="284"/>
        <v>0</v>
      </c>
      <c r="L131" s="25">
        <f t="shared" si="284"/>
        <v>353584.08000000054</v>
      </c>
      <c r="M131" s="25">
        <f t="shared" si="284"/>
        <v>-796019.46999999927</v>
      </c>
      <c r="N131" s="25">
        <f t="shared" si="284"/>
        <v>362257.38</v>
      </c>
      <c r="O131" s="25">
        <f t="shared" si="249"/>
        <v>0</v>
      </c>
      <c r="P131" s="25">
        <f>P9-P32</f>
        <v>1786223.0599999987</v>
      </c>
      <c r="Q131" s="25">
        <f>Q9-Q32</f>
        <v>1152833.4900000002</v>
      </c>
      <c r="R131" s="30">
        <f t="shared" si="251"/>
        <v>1786223.0599999987</v>
      </c>
      <c r="S131" s="25">
        <f>S9-S32</f>
        <v>0</v>
      </c>
      <c r="T131" s="31">
        <f>T9-T32</f>
        <v>1560994.4800000004</v>
      </c>
      <c r="U131" s="31">
        <f>U9-U32</f>
        <v>711931.3599999994</v>
      </c>
      <c r="V131" s="31">
        <f>V6+V9-V32-V135</f>
        <v>1569667.330000001</v>
      </c>
      <c r="W131" s="25">
        <f>W9-W32</f>
        <v>0</v>
      </c>
      <c r="X131" s="31">
        <f>X9-X32</f>
        <v>1386244.3500000006</v>
      </c>
      <c r="Y131" s="30">
        <f>Y9-Y32</f>
        <v>1113380.9100000001</v>
      </c>
      <c r="Z131" s="31">
        <f>Z6+Z9-Z32-Z135</f>
        <v>1394916.37</v>
      </c>
      <c r="AA131" s="89">
        <f>AA9-AA32</f>
        <v>0</v>
      </c>
      <c r="AB131" s="31">
        <f>AB9-AB32</f>
        <v>580567.58999999939</v>
      </c>
      <c r="AC131" s="31">
        <f>AC9-AC32</f>
        <v>1267979.3799999999</v>
      </c>
      <c r="AD131" s="31">
        <f>AD6+AD7+AD8+AD9-AD32-AD134-AD135</f>
        <v>589239.78000000014</v>
      </c>
      <c r="AE131" s="25">
        <f>AE9-AE32</f>
        <v>0</v>
      </c>
      <c r="AF131" s="31">
        <f>AF9-AF32-AF137</f>
        <v>3527806.42</v>
      </c>
      <c r="AG131" s="31">
        <f>AG9-AG32</f>
        <v>3093291.6500000004</v>
      </c>
      <c r="AH131" s="31">
        <f>AH6+AH7+AH8+AH9-AH32-AH134-AH135</f>
        <v>3553823.4799999995</v>
      </c>
      <c r="AI131" s="25">
        <f>AI9-AI32</f>
        <v>0</v>
      </c>
      <c r="AJ131" s="31">
        <f>AJ9-AJ32-AJ137</f>
        <v>5334305.1600000039</v>
      </c>
      <c r="AK131" s="31">
        <f>AK9-AK32</f>
        <v>4246125.1399999931</v>
      </c>
      <c r="AL131" s="31">
        <f>AL6+AL7+AL8+AL9-AL32-AL134-AL135-AL137</f>
        <v>5377668.6100000022</v>
      </c>
      <c r="AM131" s="25">
        <f>AM9-AM32</f>
        <v>0</v>
      </c>
      <c r="AN131" s="31">
        <f>AN6+AN9-AN32-AN135</f>
        <v>619575.85000000056</v>
      </c>
      <c r="AO131" s="31">
        <f>AO9-AO32</f>
        <v>355471.16000000108</v>
      </c>
      <c r="AP131" s="31">
        <f>AP6+AP9-AP32-AP135</f>
        <v>1015554.35</v>
      </c>
      <c r="AQ131" s="25">
        <f>AQ9-AQ32</f>
        <v>-0.48999999975785613</v>
      </c>
      <c r="AR131" s="31">
        <f>AR9-AR32</f>
        <v>893280.77000000095</v>
      </c>
      <c r="AS131" s="31">
        <f>AS9-AS32</f>
        <v>823982.44000000041</v>
      </c>
      <c r="AT131" s="31">
        <f>AT6+AT9-AT32-AT135-AT136-AT137</f>
        <v>902092.5400000005</v>
      </c>
      <c r="AU131" s="31">
        <f>AU6+AU9-AU32-AU135-AU136-AU137</f>
        <v>0</v>
      </c>
      <c r="AV131" s="31">
        <f>AV6+AV9-AV32-AV135-AV136-AV137</f>
        <v>18135.020000000019</v>
      </c>
      <c r="AW131" s="31">
        <f>AW9-AW32</f>
        <v>685399.18999999948</v>
      </c>
      <c r="AX131" s="31">
        <f>AX6+AX9-AX32-AX135-AX136-AX137</f>
        <v>26944.80999999991</v>
      </c>
      <c r="AY131" s="31">
        <f>AY6+AY9-AY32-AY135-AY136-AY137</f>
        <v>1.862645149230957E-9</v>
      </c>
      <c r="AZ131" s="31">
        <f>AZ6+AZ9-AZ32-AZ135-AZ136-AZ137</f>
        <v>1918158.6799999997</v>
      </c>
      <c r="BA131" s="31">
        <f>BA9-BA32</f>
        <v>1864852.7899999991</v>
      </c>
      <c r="BB131" s="30">
        <f>BB6+BB9-BB32-BB135-BB136-BB137</f>
        <v>1944591.2099999993</v>
      </c>
      <c r="BC131" s="168">
        <f>BC6+BC9-BC32-BC135-BC136-BC137</f>
        <v>0</v>
      </c>
      <c r="BD131" s="31">
        <f>BD6+BD9-BD32-BD135-BD136-BD137</f>
        <v>7252463.8400000036</v>
      </c>
      <c r="BE131" s="31">
        <f>BE9-BE32</f>
        <v>6110977.9299999997</v>
      </c>
      <c r="BF131" s="178">
        <f>BF6+BF9-BF32-BF135-BF136-BF137</f>
        <v>7322259.820000004</v>
      </c>
      <c r="BG131" s="89">
        <f>BG6+BG9-BG32-BG135-BG136-BG137</f>
        <v>0</v>
      </c>
      <c r="BH131" s="31">
        <f>BH6+BH9-BH32-BH135-BH136-BH137</f>
        <v>-36519.970000000205</v>
      </c>
      <c r="BI131" s="31">
        <f>BI9-BI32</f>
        <v>-283927.12999999942</v>
      </c>
      <c r="BJ131" s="95">
        <f>BJ6+BJ9-BJ32-BJ135-BJ136-BJ137</f>
        <v>-27709.650000000431</v>
      </c>
      <c r="BK131" s="95">
        <f>BK6+BK9-BK32-BK135-BK136-BK137</f>
        <v>0</v>
      </c>
      <c r="BL131" s="95">
        <f>BL6+BL9-BL32-BL135-BL136-BL137</f>
        <v>781048.12000000011</v>
      </c>
      <c r="BM131" s="95">
        <f>BM9-BM32</f>
        <v>-195754.48000000045</v>
      </c>
      <c r="BN131" s="95">
        <f>BN6+BN9-BN32-BN135-BN136-BN137</f>
        <v>789859.10000000044</v>
      </c>
      <c r="BO131" s="95">
        <f>BO6+BO9-BO32-BO135-BO136-BO137</f>
        <v>0</v>
      </c>
      <c r="BP131" s="95">
        <f>BP6+BP9-BP32-BP135-BP136-BP137</f>
        <v>-2583421.4100000011</v>
      </c>
      <c r="BQ131" s="95">
        <f>BQ9-BQ32</f>
        <v>-5789146.7000000002</v>
      </c>
      <c r="BR131" s="31">
        <f>BR6+BR9-BR32-BR135-BR136-BR137</f>
        <v>-2574609.92</v>
      </c>
      <c r="BS131" s="31">
        <f>BS6+BS9-BS32-BS135-BS136-BS137</f>
        <v>0</v>
      </c>
      <c r="BT131" s="31">
        <f>BT6+BT9-BT32-BT135-BT136-BT137</f>
        <v>-1838893.2599999998</v>
      </c>
      <c r="BU131" s="31">
        <f>BU9-BU32</f>
        <v>-6268828.3100000024</v>
      </c>
      <c r="BV131" s="31">
        <f>BV6+BV9-BV32-BV135-BV136-BV137</f>
        <v>-1812460.4700000007</v>
      </c>
      <c r="BW131" s="31">
        <f>BW6+BW9-BW32-BW135-BW136-BW137</f>
        <v>0</v>
      </c>
      <c r="BX131" s="31">
        <f>BX6+BX9-BX32-BX135-BX136-BX137</f>
        <v>79265.420000001788</v>
      </c>
      <c r="BY131" s="31">
        <f>BY9-BY32</f>
        <v>-4403975.520000007</v>
      </c>
      <c r="BZ131" s="31">
        <f>BZ6+BZ9-BZ32-BZ135-BZ136-BZ137</f>
        <v>132130.740000002</v>
      </c>
      <c r="CA131" s="31">
        <f>CA6+CA9-CA32-CA135-CA136-CA137</f>
        <v>0</v>
      </c>
      <c r="CB131" s="31">
        <f>CB6+CB9-CB32-CB135-CB136-CB137</f>
        <v>5412338.0600000024</v>
      </c>
      <c r="CC131" s="25">
        <f>CC9-CC32</f>
        <v>-157850.38000001013</v>
      </c>
      <c r="CD131" s="31">
        <f>CD6+CD9-CD32-CD135-CD136-CD137</f>
        <v>5508566.8300000075</v>
      </c>
      <c r="CG131" s="93"/>
      <c r="CH131" s="93"/>
      <c r="CJ131" s="208" t="e">
        <f>CJ9-CJ32</f>
        <v>#REF!</v>
      </c>
      <c r="CK131" s="208" t="e">
        <f>CK9-CK32</f>
        <v>#REF!</v>
      </c>
      <c r="CL131" s="208" t="e">
        <f>CL9-CL32</f>
        <v>#REF!</v>
      </c>
      <c r="CM131" s="208" t="e">
        <f>CM9-CM32</f>
        <v>#REF!</v>
      </c>
      <c r="CN131" s="208" t="e">
        <f t="shared" si="236"/>
        <v>#REF!</v>
      </c>
      <c r="CO131" s="208" t="e">
        <f t="shared" si="236"/>
        <v>#REF!</v>
      </c>
      <c r="CP131" s="208" t="e">
        <f t="shared" si="236"/>
        <v>#REF!</v>
      </c>
      <c r="CQ131" s="208" t="e">
        <f t="shared" si="236"/>
        <v>#REF!</v>
      </c>
    </row>
    <row r="132" spans="1:95" ht="17.25" thickBot="1" x14ac:dyDescent="0.35">
      <c r="A132" s="9"/>
      <c r="B132" s="10" t="s">
        <v>141</v>
      </c>
      <c r="C132" s="181"/>
      <c r="D132" s="182"/>
      <c r="E132" s="197">
        <f>E6+E9-E32-1000000</f>
        <v>1092654.4999999995</v>
      </c>
      <c r="F132" s="183"/>
      <c r="G132" s="148"/>
      <c r="H132" s="51"/>
      <c r="I132" s="51">
        <f>I6+I9-I32</f>
        <v>2010401.5299999993</v>
      </c>
      <c r="J132" s="52"/>
      <c r="K132" s="50"/>
      <c r="L132" s="51"/>
      <c r="M132" s="54">
        <f>M6+M9-M32</f>
        <v>1214382.0600000005</v>
      </c>
      <c r="N132" s="52"/>
      <c r="O132" s="53"/>
      <c r="P132" s="54"/>
      <c r="Q132" s="54">
        <f>Q6+Q9-Q32-1000000</f>
        <v>1218460.2699999996</v>
      </c>
      <c r="R132" s="19">
        <f>F132+J132+N132</f>
        <v>0</v>
      </c>
      <c r="S132" s="50"/>
      <c r="T132" s="51"/>
      <c r="U132" s="54">
        <f>U6+U9-U32+1000000</f>
        <v>2910522.5299999993</v>
      </c>
      <c r="V132" s="51">
        <f>V6+V9-V32</f>
        <v>1569667.330000001</v>
      </c>
      <c r="W132" s="51"/>
      <c r="X132" s="51">
        <f>X6+X9-X32</f>
        <v>1386244.3500000006</v>
      </c>
      <c r="Y132" s="149">
        <f>Y6+Y9-Y32-1000000</f>
        <v>3022403.4399999995</v>
      </c>
      <c r="Z132" s="147"/>
      <c r="AA132" s="148"/>
      <c r="AB132" s="51"/>
      <c r="AC132" s="54">
        <f>AC6+AC9-AC32-1500000</f>
        <v>2790382.8200000003</v>
      </c>
      <c r="AD132" s="52"/>
      <c r="AE132" s="53">
        <f>S132+W132+AA132</f>
        <v>0</v>
      </c>
      <c r="AF132" s="54">
        <f>T132+X132+AB132</f>
        <v>1386244.3500000006</v>
      </c>
      <c r="AG132" s="54">
        <f>AG6+AG9-AG32-1500000</f>
        <v>2791882.8200000003</v>
      </c>
      <c r="AH132" s="149"/>
      <c r="AI132" s="53">
        <f>AE132+O132</f>
        <v>0</v>
      </c>
      <c r="AJ132" s="54">
        <f>AF132+P132</f>
        <v>1386244.3500000006</v>
      </c>
      <c r="AK132" s="54">
        <f>AK6+AK9-AK32-AK134-AK135-2500000</f>
        <v>2786777.8199999947</v>
      </c>
      <c r="AL132" s="149"/>
      <c r="AM132" s="50"/>
      <c r="AN132" s="51"/>
      <c r="AO132" s="54">
        <f>AO6+AO9-AO32</f>
        <v>3142248.9800000014</v>
      </c>
      <c r="AP132" s="150"/>
      <c r="AQ132" s="50"/>
      <c r="AR132" s="51"/>
      <c r="AS132" s="54">
        <f>AS6+AS9-AS32-2000000</f>
        <v>1955298.2199999997</v>
      </c>
      <c r="AT132" s="150"/>
      <c r="AU132" s="50"/>
      <c r="AV132" s="51"/>
      <c r="AW132" s="54">
        <f>AW6+AW9-AW32</f>
        <v>2640697.4099999997</v>
      </c>
      <c r="AX132" s="150"/>
      <c r="AY132" s="53">
        <f>AM132+AQ132+AU132</f>
        <v>0</v>
      </c>
      <c r="AZ132" s="54">
        <f>AN132+AR132+AV132</f>
        <v>0</v>
      </c>
      <c r="BA132" s="54">
        <f>BA6+BA9-BA32-2000000-BA134</f>
        <v>2640697.4099999992</v>
      </c>
      <c r="BB132" s="149"/>
      <c r="BC132" s="196"/>
      <c r="BD132" s="197"/>
      <c r="BE132" s="197">
        <f>BE6+BE9-BE32-BE134-4500000</f>
        <v>2640697.4100000011</v>
      </c>
      <c r="BF132" s="198"/>
      <c r="BG132" s="148"/>
      <c r="BH132" s="51"/>
      <c r="BI132" s="54">
        <f>BI6+BI9-BI32-BI134+12000000</f>
        <v>14351630.68</v>
      </c>
      <c r="BJ132" s="41">
        <f>BH132-BG132</f>
        <v>0</v>
      </c>
      <c r="BK132" s="50"/>
      <c r="BL132" s="51"/>
      <c r="BM132" s="54">
        <f>BM6+BM9-BM32-BM134</f>
        <v>14155876.199999999</v>
      </c>
      <c r="BN132" s="27">
        <f>BL132-BK132</f>
        <v>0</v>
      </c>
      <c r="BO132" s="50"/>
      <c r="BP132" s="51"/>
      <c r="BQ132" s="54">
        <f>BQ6+BQ9-BQ32-BQ134</f>
        <v>8361982.1999999983</v>
      </c>
      <c r="BR132" s="41">
        <f>BP132-BO132</f>
        <v>0</v>
      </c>
      <c r="BS132" s="53">
        <f>BG132+BK132+BO132</f>
        <v>0</v>
      </c>
      <c r="BT132" s="54">
        <f>BH132+BL132+BP132</f>
        <v>0</v>
      </c>
      <c r="BU132" s="51">
        <f>BU6+BU9-BU32-BU134+12000000</f>
        <v>8361982.1999999974</v>
      </c>
      <c r="BV132" s="20">
        <f>BT132-BS132</f>
        <v>0</v>
      </c>
      <c r="BW132" s="53">
        <f>BS132+AY132</f>
        <v>0</v>
      </c>
      <c r="BX132" s="54">
        <f>BT132+AZ132</f>
        <v>0</v>
      </c>
      <c r="BY132" s="51">
        <f>BY6+BY9-BY32-BY134+10000000</f>
        <v>8361982.1999999937</v>
      </c>
      <c r="BZ132" s="55"/>
      <c r="CA132" s="53">
        <f>BW132+AI132</f>
        <v>0</v>
      </c>
      <c r="CB132" s="54">
        <f>BX132+AJ132</f>
        <v>1386244.3500000006</v>
      </c>
      <c r="CC132" s="54">
        <f>CC6+CC9-CC32-CC134+7500000</f>
        <v>8361982.1999999909</v>
      </c>
      <c r="CD132" s="55"/>
      <c r="CJ132" s="151"/>
      <c r="CK132" s="151"/>
      <c r="CL132" s="151"/>
      <c r="CM132" s="151"/>
      <c r="CN132" s="69"/>
      <c r="CO132" s="69"/>
      <c r="CP132" s="69"/>
      <c r="CQ132" s="69"/>
    </row>
    <row r="133" spans="1:95" ht="16.5" x14ac:dyDescent="0.3">
      <c r="B133" s="1" t="s">
        <v>171</v>
      </c>
      <c r="C133" s="165"/>
      <c r="E133" s="162">
        <f>1071201.36+17374.93</f>
        <v>1088576.29</v>
      </c>
      <c r="I133" s="1">
        <v>2010401.53</v>
      </c>
      <c r="K133" s="56"/>
      <c r="L133" s="57"/>
      <c r="M133" s="202">
        <v>1198591.17</v>
      </c>
      <c r="N133" s="152"/>
      <c r="Q133" s="162">
        <f>M133</f>
        <v>1198591.17</v>
      </c>
      <c r="U133" s="162">
        <f>2896497.21+12525.32</f>
        <v>2909022.53</v>
      </c>
      <c r="Y133" s="162">
        <f>3001387.34+21016.1</f>
        <v>3022403.44</v>
      </c>
      <c r="AC133" s="162">
        <v>2786777.82</v>
      </c>
      <c r="AG133" s="1">
        <v>2786777.82</v>
      </c>
      <c r="AK133" s="162">
        <v>2786777.82</v>
      </c>
      <c r="AM133" s="57"/>
      <c r="AN133" s="57"/>
      <c r="AO133" s="202">
        <v>3131315.78</v>
      </c>
      <c r="AP133" s="57"/>
      <c r="AQ133" s="57"/>
      <c r="AR133" s="57"/>
      <c r="AS133" s="202">
        <v>1955298.22</v>
      </c>
      <c r="AT133" s="57"/>
      <c r="AU133" s="57"/>
      <c r="AV133" s="57"/>
      <c r="AW133" s="202">
        <v>2640697.41</v>
      </c>
      <c r="AX133" s="57"/>
      <c r="AY133" s="57"/>
      <c r="AZ133" s="57"/>
      <c r="BA133" s="202">
        <f>AW133</f>
        <v>2640697.41</v>
      </c>
      <c r="BB133" s="153"/>
      <c r="BC133" s="186"/>
      <c r="BD133" s="186"/>
      <c r="BE133" s="186">
        <f>BA133</f>
        <v>2640697.41</v>
      </c>
      <c r="BF133" s="57"/>
      <c r="BG133" s="57"/>
      <c r="BH133" s="57"/>
      <c r="BI133" s="202">
        <v>14351630.68</v>
      </c>
      <c r="BJ133" s="57"/>
      <c r="BK133" s="57"/>
      <c r="BL133" s="57"/>
      <c r="BM133" s="57">
        <v>14155876.199999999</v>
      </c>
      <c r="BN133" s="57"/>
      <c r="BO133" s="57"/>
      <c r="BP133" s="57"/>
      <c r="BQ133" s="202">
        <v>8361982.2000000002</v>
      </c>
      <c r="BR133" s="57"/>
      <c r="BS133" s="57"/>
      <c r="BT133" s="57"/>
      <c r="BU133" s="202">
        <v>8361982.2000000002</v>
      </c>
      <c r="BV133" s="57"/>
      <c r="BW133" s="57"/>
      <c r="BX133" s="57"/>
      <c r="BY133" s="202">
        <v>8361982.2000000002</v>
      </c>
      <c r="BZ133" s="57"/>
      <c r="CA133" s="57"/>
      <c r="CB133" s="57"/>
      <c r="CC133" s="202">
        <v>8361982.2000000002</v>
      </c>
      <c r="CD133" s="57"/>
      <c r="CJ133" s="69"/>
      <c r="CK133" s="69"/>
      <c r="CL133" s="69"/>
      <c r="CM133" s="69"/>
      <c r="CN133" s="69"/>
      <c r="CO133" s="69"/>
      <c r="CP133" s="69"/>
      <c r="CQ133" s="69"/>
    </row>
    <row r="134" spans="1:95" ht="21" customHeight="1" thickBot="1" x14ac:dyDescent="0.35">
      <c r="B134" s="58" t="s">
        <v>172</v>
      </c>
      <c r="C134" s="25"/>
      <c r="D134" s="59"/>
      <c r="E134" s="60">
        <v>4078.21</v>
      </c>
      <c r="F134" s="60"/>
      <c r="G134" s="59"/>
      <c r="H134" s="59"/>
      <c r="I134" s="59"/>
      <c r="J134" s="154"/>
      <c r="K134" s="61"/>
      <c r="L134" s="62"/>
      <c r="M134" s="62">
        <v>15790.89</v>
      </c>
      <c r="N134" s="155"/>
      <c r="O134" s="63"/>
      <c r="P134" s="59"/>
      <c r="Q134" s="60">
        <f>E134+I134+M134</f>
        <v>19869.099999999999</v>
      </c>
      <c r="R134" s="60"/>
      <c r="S134" s="59"/>
      <c r="T134" s="59"/>
      <c r="U134" s="59">
        <v>1500</v>
      </c>
      <c r="V134" s="59"/>
      <c r="W134" s="59"/>
      <c r="X134" s="59"/>
      <c r="Y134" s="59"/>
      <c r="Z134" s="59"/>
      <c r="AA134" s="59"/>
      <c r="AB134" s="59"/>
      <c r="AC134" s="59">
        <v>3605</v>
      </c>
      <c r="AD134" s="59"/>
      <c r="AE134" s="59"/>
      <c r="AF134" s="59"/>
      <c r="AG134" s="59">
        <f>U134+Y134+AC134</f>
        <v>5105</v>
      </c>
      <c r="AH134" s="59"/>
      <c r="AI134" s="59"/>
      <c r="AJ134" s="59"/>
      <c r="AK134" s="60">
        <f>Q134+AG134</f>
        <v>24974.1</v>
      </c>
      <c r="AL134" s="64"/>
      <c r="AM134" s="59"/>
      <c r="AN134" s="59"/>
      <c r="AO134" s="59">
        <v>10933.2</v>
      </c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>
        <f>AW134+AS134+AO134</f>
        <v>10933.2</v>
      </c>
      <c r="BB134" s="154"/>
      <c r="BC134" s="84"/>
      <c r="BD134" s="84"/>
      <c r="BE134" s="124">
        <f>(BA134+AK134)</f>
        <v>35907.300000000003</v>
      </c>
      <c r="BF134" s="59"/>
      <c r="BG134" s="59"/>
      <c r="BH134" s="59"/>
      <c r="BI134" s="59">
        <v>5139.6000000000004</v>
      </c>
      <c r="BJ134" s="59"/>
      <c r="BK134" s="59"/>
      <c r="BL134" s="59"/>
      <c r="BM134" s="59"/>
      <c r="BN134" s="59"/>
      <c r="BO134" s="59"/>
      <c r="BP134" s="59"/>
      <c r="BQ134" s="59">
        <v>4747.3</v>
      </c>
      <c r="BR134" s="59"/>
      <c r="BS134" s="59"/>
      <c r="BT134" s="59"/>
      <c r="BU134" s="59">
        <f>BI134+BM134+BQ134</f>
        <v>9886.9000000000015</v>
      </c>
      <c r="BV134" s="59"/>
      <c r="BW134" s="59"/>
      <c r="BX134" s="59"/>
      <c r="BY134" s="59">
        <f>BU134+BA134</f>
        <v>20820.100000000002</v>
      </c>
      <c r="BZ134" s="59"/>
      <c r="CA134" s="59"/>
      <c r="CB134" s="59"/>
      <c r="CC134" s="60">
        <f>BY134+AK134</f>
        <v>45794.2</v>
      </c>
      <c r="CD134" s="59"/>
      <c r="CJ134" s="69"/>
      <c r="CK134" s="69"/>
      <c r="CL134" s="69"/>
      <c r="CM134" s="69"/>
      <c r="CN134" s="69"/>
      <c r="CO134" s="69"/>
      <c r="CP134" s="69"/>
      <c r="CQ134" s="69"/>
    </row>
    <row r="135" spans="1:95" ht="15" hidden="1" customHeight="1" outlineLevel="1" x14ac:dyDescent="0.3">
      <c r="B135" s="65" t="s">
        <v>142</v>
      </c>
      <c r="C135" s="156"/>
      <c r="Q135" s="59"/>
      <c r="AG135" s="59"/>
      <c r="AK135" s="60">
        <f>Q135+AG135</f>
        <v>0</v>
      </c>
      <c r="AL135" s="66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>
        <f>AW135+AS135+AO135</f>
        <v>0</v>
      </c>
      <c r="BB135" s="59"/>
      <c r="BC135" s="59"/>
      <c r="BD135" s="59"/>
      <c r="BE135" s="60"/>
      <c r="BF135" s="59"/>
      <c r="BG135" s="59"/>
      <c r="BH135" s="59"/>
      <c r="BI135" s="157"/>
      <c r="BJ135" s="59"/>
      <c r="BK135" s="59"/>
      <c r="BL135" s="59"/>
      <c r="BM135" s="59"/>
      <c r="BN135" s="59"/>
      <c r="BO135" s="59"/>
      <c r="BP135" s="59"/>
      <c r="BQ135" s="59">
        <v>26478.78</v>
      </c>
      <c r="BR135" s="59"/>
      <c r="BS135" s="59"/>
      <c r="BT135" s="59"/>
      <c r="BU135" s="59">
        <f>BI135+BM135+BQ135</f>
        <v>26478.78</v>
      </c>
      <c r="BV135" s="59"/>
      <c r="BW135" s="59"/>
      <c r="BX135" s="59"/>
      <c r="BY135" s="59">
        <f>BU135+BA135</f>
        <v>26478.78</v>
      </c>
      <c r="BZ135" s="59"/>
      <c r="CA135" s="59"/>
      <c r="CB135" s="59"/>
      <c r="CC135" s="60">
        <f>BY135+AK135</f>
        <v>26478.78</v>
      </c>
      <c r="CD135" s="59"/>
      <c r="CJ135" s="69"/>
      <c r="CK135" s="69"/>
      <c r="CL135" s="69"/>
      <c r="CM135" s="69"/>
      <c r="CN135" s="69"/>
      <c r="CO135" s="69"/>
      <c r="CP135" s="69"/>
      <c r="CQ135" s="69"/>
    </row>
    <row r="136" spans="1:95" ht="15" hidden="1" customHeight="1" outlineLevel="1" x14ac:dyDescent="0.3">
      <c r="B136" s="65" t="s">
        <v>143</v>
      </c>
      <c r="C136" s="156"/>
      <c r="AG136" s="59"/>
      <c r="AK136" s="66"/>
      <c r="AL136" s="66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6"/>
      <c r="BF136" s="67"/>
      <c r="BG136" s="67"/>
      <c r="BH136" s="67"/>
      <c r="BI136" s="66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59">
        <f>BI136+BM136+BQ136</f>
        <v>0</v>
      </c>
      <c r="BV136" s="67"/>
      <c r="BW136" s="67"/>
      <c r="BX136" s="67"/>
      <c r="BY136" s="59">
        <f>BU136+BA136</f>
        <v>0</v>
      </c>
      <c r="BZ136" s="67"/>
      <c r="CA136" s="67"/>
      <c r="CB136" s="67"/>
      <c r="CC136" s="60">
        <f>BY136+AK136</f>
        <v>0</v>
      </c>
      <c r="CD136" s="67"/>
    </row>
    <row r="137" spans="1:95" ht="15" hidden="1" customHeight="1" outlineLevel="1" x14ac:dyDescent="0.3">
      <c r="B137" s="65" t="s">
        <v>144</v>
      </c>
      <c r="C137" s="156"/>
      <c r="V137" s="3"/>
      <c r="AG137" s="59"/>
      <c r="AK137" s="1">
        <f>AG137+Q137</f>
        <v>0</v>
      </c>
      <c r="AO137" s="158"/>
      <c r="BQ137" s="3"/>
      <c r="BU137" s="59">
        <f>BI137+BM137+BQ137</f>
        <v>0</v>
      </c>
      <c r="BY137" s="59">
        <f>BU137+BA137</f>
        <v>0</v>
      </c>
      <c r="CC137" s="60"/>
    </row>
    <row r="138" spans="1:95" hidden="1" collapsed="1" x14ac:dyDescent="0.2">
      <c r="B138" s="1" t="s">
        <v>161</v>
      </c>
      <c r="C138" s="159"/>
      <c r="E138" s="3">
        <v>4000000</v>
      </c>
      <c r="M138" s="3"/>
      <c r="AC138" s="3"/>
      <c r="AG138" s="3"/>
      <c r="AO138" s="1">
        <v>500000</v>
      </c>
      <c r="AS138" s="1">
        <v>1500000</v>
      </c>
    </row>
    <row r="139" spans="1:95" ht="0.75" customHeight="1" x14ac:dyDescent="0.2">
      <c r="C139" s="159"/>
      <c r="E139" s="3"/>
      <c r="F139" s="3"/>
      <c r="I139" s="3"/>
      <c r="J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K139" s="3"/>
      <c r="AO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>
        <f>BE131-BE132</f>
        <v>3470280.5199999986</v>
      </c>
      <c r="BI139" s="3">
        <f>BI131-BI133</f>
        <v>-14635557.809999999</v>
      </c>
      <c r="BM139" s="3"/>
      <c r="BQ139" s="3">
        <f>BQ131-BQ133</f>
        <v>-14151128.9</v>
      </c>
    </row>
    <row r="140" spans="1:95" ht="15.75" x14ac:dyDescent="0.2">
      <c r="B140" s="68" t="s">
        <v>145</v>
      </c>
      <c r="C140" s="159"/>
      <c r="U140" s="3"/>
      <c r="AO140" s="3"/>
      <c r="CC140" s="3"/>
    </row>
    <row r="141" spans="1:95" x14ac:dyDescent="0.2">
      <c r="B141" s="1" t="s">
        <v>146</v>
      </c>
      <c r="C141" s="159"/>
      <c r="E141" s="3">
        <f>E132-E133-E134</f>
        <v>-5.0295057008042932E-10</v>
      </c>
      <c r="F141" s="3"/>
      <c r="I141" s="3">
        <f>I132-I133-I134</f>
        <v>-6.9849193096160889E-10</v>
      </c>
      <c r="J141" s="3"/>
      <c r="L141" s="3"/>
      <c r="M141" s="160">
        <f>M132-M133-M134</f>
        <v>5.9662852436304092E-10</v>
      </c>
      <c r="Q141" s="3"/>
      <c r="U141" s="3">
        <f>U132-U133-U134</f>
        <v>-4.6566128730773926E-10</v>
      </c>
      <c r="Y141" s="3">
        <f>Y132-Y133-Y134</f>
        <v>-4.6566128730773926E-10</v>
      </c>
      <c r="AC141" s="3">
        <f>AC132-AC133-AC134</f>
        <v>4.6566128730773926E-10</v>
      </c>
      <c r="AG141" s="3">
        <f>AG132-AG133-AG134</f>
        <v>4.6566128730773926E-10</v>
      </c>
      <c r="AK141" s="3">
        <f>AK132-AK133</f>
        <v>-5.1222741603851318E-9</v>
      </c>
      <c r="AM141" s="3"/>
      <c r="AO141" s="3">
        <f>AO132-AO133-AO134</f>
        <v>1.5825207810848951E-9</v>
      </c>
      <c r="AS141" s="72">
        <f>AS132-AS133-AS134</f>
        <v>-2.3283064365386963E-10</v>
      </c>
      <c r="AW141" s="3">
        <f>AW132-AW133</f>
        <v>0</v>
      </c>
      <c r="BA141" s="3">
        <f>BA132-BA133</f>
        <v>0</v>
      </c>
      <c r="BE141" s="3">
        <f>BE132-BE133</f>
        <v>0</v>
      </c>
      <c r="BH141" s="161"/>
      <c r="BI141" s="72">
        <f>BI132-BI133</f>
        <v>0</v>
      </c>
      <c r="BM141" s="3">
        <f>BM132-BM133</f>
        <v>0</v>
      </c>
      <c r="BQ141" s="203">
        <f>BQ132-BQ133</f>
        <v>0</v>
      </c>
      <c r="BU141" s="3">
        <f>BU132-BU133</f>
        <v>0</v>
      </c>
      <c r="BY141" s="3">
        <f>BY132-BY133</f>
        <v>0</v>
      </c>
      <c r="CC141" s="3">
        <f>CC132-CC133</f>
        <v>-9.3132257461547852E-9</v>
      </c>
    </row>
    <row r="142" spans="1:95" x14ac:dyDescent="0.2">
      <c r="C142" s="159"/>
      <c r="Q142" s="3">
        <f>Q132-Q133-Q134</f>
        <v>-3.7107383832335472E-10</v>
      </c>
      <c r="AC142" s="3"/>
    </row>
    <row r="143" spans="1:95" x14ac:dyDescent="0.2">
      <c r="E143" s="3"/>
      <c r="M143" s="3"/>
    </row>
    <row r="144" spans="1:95" x14ac:dyDescent="0.2">
      <c r="E144" s="3"/>
      <c r="M144" s="3"/>
      <c r="AZ144" s="3"/>
    </row>
    <row r="146" spans="24:49" x14ac:dyDescent="0.2">
      <c r="AW146" s="3"/>
    </row>
    <row r="147" spans="24:49" x14ac:dyDescent="0.2">
      <c r="X147" s="3"/>
      <c r="Y147" s="3"/>
      <c r="Z147" s="3"/>
    </row>
    <row r="149" spans="24:49" x14ac:dyDescent="0.2">
      <c r="AB149" s="3"/>
    </row>
  </sheetData>
  <sheetProtection selectLockedCells="1" selectUnlockedCells="1"/>
  <mergeCells count="29">
    <mergeCell ref="A94:B94"/>
    <mergeCell ref="CA4:CD4"/>
    <mergeCell ref="CJ4:CM4"/>
    <mergeCell ref="CN4:CQ4"/>
    <mergeCell ref="A9:B9"/>
    <mergeCell ref="A32:B32"/>
    <mergeCell ref="A33:B33"/>
    <mergeCell ref="BC4:BF4"/>
    <mergeCell ref="BG4:BJ4"/>
    <mergeCell ref="BK4:BN4"/>
    <mergeCell ref="BO4:BR4"/>
    <mergeCell ref="BS4:BV4"/>
    <mergeCell ref="BW4:BZ4"/>
    <mergeCell ref="AE4:AH4"/>
    <mergeCell ref="AI4:AK4"/>
    <mergeCell ref="AM4:AP4"/>
    <mergeCell ref="AQ4:AT4"/>
    <mergeCell ref="AU4:AX4"/>
    <mergeCell ref="AY4:BB4"/>
    <mergeCell ref="A2:BF3"/>
    <mergeCell ref="A4:A5"/>
    <mergeCell ref="B4:B5"/>
    <mergeCell ref="C4:F4"/>
    <mergeCell ref="G4:J4"/>
    <mergeCell ref="K4:N4"/>
    <mergeCell ref="O4:R4"/>
    <mergeCell ref="S4:V4"/>
    <mergeCell ref="W4:Z4"/>
    <mergeCell ref="AA4:AD4"/>
  </mergeCells>
  <pageMargins left="0.25" right="0.25" top="0.75" bottom="0.75" header="0.3" footer="0.3"/>
  <pageSetup paperSize="9" scale="85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УК 2020  (на сайты)</vt:lpstr>
      <vt:lpstr>УК 2020 </vt:lpstr>
      <vt:lpstr>'УК 2020 '!__xlnm._FilterDatabase</vt:lpstr>
      <vt:lpstr>'УК 2020  (на сайты)'!__xlnm._FilterDatabase</vt:lpstr>
      <vt:lpstr>'УК 2020 '!__xlnm._FilterDatabase_1</vt:lpstr>
      <vt:lpstr>'УК 2020  (на сайты)'!__xlnm._FilterDatabase_1</vt:lpstr>
      <vt:lpstr>'УК 2020 '!__xlnm.Print_Titles</vt:lpstr>
      <vt:lpstr>'УК 2020  (на сайты)'!__xlnm.Print_Titles</vt:lpstr>
      <vt:lpstr>'УК 2020 '!Заголовки_для_печати</vt:lpstr>
      <vt:lpstr>'УК 2020  (на сайты)'!Заголовки_для_печати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2021-03-22T07:27:31Z</cp:lastPrinted>
  <dcterms:created xsi:type="dcterms:W3CDTF">2019-12-11T08:50:34Z</dcterms:created>
  <dcterms:modified xsi:type="dcterms:W3CDTF">2021-03-22T07:27:34Z</dcterms:modified>
</cp:coreProperties>
</file>